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067"/>
  <workbookPr showInkAnnotation="0" defaultThemeVersion="124226"/>
  <mc:AlternateContent xmlns:mc="http://schemas.openxmlformats.org/markup-compatibility/2006">
    <mc:Choice Requires="x15">
      <x15ac:absPath xmlns:x15ac="http://schemas.microsoft.com/office/spreadsheetml/2010/11/ac" url="C:\Users\e.vizcaino\AppData\Local\Microsoft\Windows\INetCache\Content.Outlook\2C9Q7LOD\"/>
    </mc:Choice>
  </mc:AlternateContent>
  <bookViews>
    <workbookView xWindow="0" yWindow="0" windowWidth="28800" windowHeight="12210"/>
  </bookViews>
  <sheets>
    <sheet name="Fondo 100" sheetId="41" r:id="rId1"/>
    <sheet name="Fondos Propios" sheetId="42" r:id="rId2"/>
    <sheet name="Suma Fondos Consolidados" sheetId="44" r:id="rId3"/>
  </sheets>
  <definedNames>
    <definedName name="_xlnm.Print_Titles" localSheetId="0">'Fondo 100'!$1:$8</definedName>
    <definedName name="_xlnm.Print_Titles" localSheetId="1">'Fondos Propios'!$1:$8</definedName>
    <definedName name="_xlnm.Print_Titles" localSheetId="2">'Suma Fondos Consolidados'!$1:$8</definedName>
  </definedNames>
  <calcPr calcId="171027"/>
</workbook>
</file>

<file path=xl/calcChain.xml><?xml version="1.0" encoding="utf-8"?>
<calcChain xmlns="http://schemas.openxmlformats.org/spreadsheetml/2006/main">
  <c r="R11" i="44" l="1"/>
  <c r="D167" i="42"/>
  <c r="D173" i="42"/>
  <c r="D142" i="42"/>
  <c r="D146" i="42"/>
  <c r="D102" i="42"/>
  <c r="D129" i="42"/>
  <c r="D103" i="42"/>
  <c r="D59" i="42"/>
  <c r="D78" i="42"/>
  <c r="D79" i="42"/>
  <c r="D53" i="42"/>
  <c r="D54" i="42"/>
  <c r="D30" i="42"/>
  <c r="D11" i="42"/>
  <c r="D42" i="41"/>
  <c r="D29" i="41"/>
  <c r="D18" i="41"/>
  <c r="D15" i="41"/>
  <c r="D16" i="41"/>
  <c r="R85" i="44" l="1"/>
  <c r="R86" i="44"/>
  <c r="E85" i="44"/>
  <c r="J87" i="44"/>
  <c r="R11" i="42"/>
  <c r="J180" i="42"/>
  <c r="J159" i="42"/>
  <c r="J132" i="42"/>
  <c r="J131" i="42"/>
  <c r="J127" i="42"/>
  <c r="J126" i="42"/>
  <c r="J118" i="42"/>
  <c r="J116" i="42"/>
  <c r="J113" i="42"/>
  <c r="J102" i="42"/>
  <c r="J101" i="42"/>
  <c r="J100" i="42"/>
  <c r="J88" i="42"/>
  <c r="J86" i="42"/>
  <c r="J64" i="42"/>
  <c r="J59" i="42"/>
  <c r="J58" i="42"/>
  <c r="J54" i="42"/>
  <c r="J53" i="42"/>
  <c r="J39" i="42"/>
  <c r="J37" i="42"/>
  <c r="J34" i="42"/>
  <c r="J33" i="42"/>
  <c r="J30" i="42"/>
  <c r="J29" i="42"/>
  <c r="J18" i="42"/>
  <c r="J12" i="42"/>
  <c r="J25" i="42" s="1"/>
  <c r="J77" i="41"/>
  <c r="J45" i="41"/>
  <c r="J22" i="41"/>
  <c r="R13" i="42"/>
  <c r="K159" i="42"/>
  <c r="L159" i="42"/>
  <c r="M159" i="42"/>
  <c r="N159" i="42"/>
  <c r="O159" i="42"/>
  <c r="P159" i="42"/>
  <c r="Q159" i="42"/>
  <c r="K133" i="42"/>
  <c r="L133" i="42"/>
  <c r="M133" i="42"/>
  <c r="N133" i="42"/>
  <c r="O133" i="42"/>
  <c r="P133" i="42"/>
  <c r="Q133" i="42"/>
  <c r="R81" i="42"/>
  <c r="K83" i="42"/>
  <c r="L83" i="42"/>
  <c r="M83" i="42"/>
  <c r="N83" i="42"/>
  <c r="O83" i="42"/>
  <c r="P83" i="42"/>
  <c r="Q83" i="42"/>
  <c r="E81" i="42"/>
  <c r="K25" i="42"/>
  <c r="L25" i="42"/>
  <c r="M25" i="42"/>
  <c r="N25" i="42"/>
  <c r="O25" i="42"/>
  <c r="P25" i="42"/>
  <c r="Q25" i="42"/>
  <c r="E13" i="42"/>
  <c r="K180" i="42"/>
  <c r="L180" i="42"/>
  <c r="M180" i="42"/>
  <c r="N180" i="42"/>
  <c r="O180" i="42"/>
  <c r="P180" i="42"/>
  <c r="Q180" i="42"/>
  <c r="R79" i="41"/>
  <c r="R48" i="41"/>
  <c r="R49" i="41"/>
  <c r="R50" i="41"/>
  <c r="R51" i="41"/>
  <c r="R52" i="41"/>
  <c r="R53" i="41"/>
  <c r="R54" i="41"/>
  <c r="R55" i="41"/>
  <c r="R56" i="41"/>
  <c r="R57" i="41"/>
  <c r="R58" i="41"/>
  <c r="R59" i="41"/>
  <c r="R60" i="41"/>
  <c r="R61" i="41"/>
  <c r="R62" i="41"/>
  <c r="R63" i="41"/>
  <c r="R64" i="41"/>
  <c r="R65" i="41"/>
  <c r="R66" i="41"/>
  <c r="R67" i="41"/>
  <c r="R68" i="41"/>
  <c r="R69" i="41"/>
  <c r="R70" i="41"/>
  <c r="R71" i="41"/>
  <c r="R72" i="41"/>
  <c r="R73" i="41"/>
  <c r="R74" i="41"/>
  <c r="R75" i="41"/>
  <c r="R76" i="41"/>
  <c r="R25" i="41"/>
  <c r="R26" i="41"/>
  <c r="R27" i="41"/>
  <c r="R28" i="41"/>
  <c r="R30" i="41"/>
  <c r="R31" i="41"/>
  <c r="R32" i="41"/>
  <c r="R33" i="41"/>
  <c r="R34" i="41"/>
  <c r="R35" i="41"/>
  <c r="R36" i="41"/>
  <c r="R37" i="41"/>
  <c r="R38" i="41"/>
  <c r="R39" i="41"/>
  <c r="R40" i="41"/>
  <c r="R41" i="41"/>
  <c r="R42" i="41"/>
  <c r="R43" i="41"/>
  <c r="R44" i="41"/>
  <c r="R24" i="41"/>
  <c r="R12" i="41"/>
  <c r="R13" i="41"/>
  <c r="R14" i="41"/>
  <c r="R15" i="41"/>
  <c r="R16" i="41"/>
  <c r="R17" i="41"/>
  <c r="R18" i="41"/>
  <c r="R19" i="41"/>
  <c r="R20" i="41"/>
  <c r="R21" i="41"/>
  <c r="R11" i="41"/>
  <c r="K77" i="41"/>
  <c r="L77" i="41"/>
  <c r="M77" i="41"/>
  <c r="N77" i="41"/>
  <c r="O77" i="41"/>
  <c r="P77" i="41"/>
  <c r="Q77" i="41"/>
  <c r="K45" i="41"/>
  <c r="L45" i="41"/>
  <c r="M45" i="41"/>
  <c r="N45" i="41"/>
  <c r="O45" i="41"/>
  <c r="P45" i="41"/>
  <c r="Q45" i="41"/>
  <c r="K22" i="41"/>
  <c r="K84" i="41" s="1"/>
  <c r="L22" i="41"/>
  <c r="M22" i="41"/>
  <c r="N22" i="41"/>
  <c r="N84" i="41" s="1"/>
  <c r="O22" i="41"/>
  <c r="O84" i="41" s="1"/>
  <c r="P22" i="41"/>
  <c r="Q22" i="41"/>
  <c r="M84" i="41" l="1"/>
  <c r="Q84" i="41"/>
  <c r="P84" i="41"/>
  <c r="L84" i="41"/>
  <c r="S13" i="42"/>
  <c r="S85" i="44"/>
  <c r="J84" i="41"/>
  <c r="S81" i="42"/>
  <c r="J83" i="42"/>
  <c r="J133" i="42"/>
  <c r="J194" i="42"/>
  <c r="D174" i="42"/>
  <c r="D132" i="42"/>
  <c r="D139" i="42"/>
  <c r="I186" i="44" l="1"/>
  <c r="I140" i="42"/>
  <c r="I139" i="42"/>
  <c r="I131" i="42"/>
  <c r="I127" i="42"/>
  <c r="I124" i="42"/>
  <c r="I118" i="42"/>
  <c r="I117" i="42"/>
  <c r="I113" i="42"/>
  <c r="I102" i="42"/>
  <c r="I100" i="42"/>
  <c r="I86" i="42"/>
  <c r="I69" i="42"/>
  <c r="I64" i="42"/>
  <c r="I53" i="42"/>
  <c r="I47" i="42"/>
  <c r="I42" i="42"/>
  <c r="I39" i="42"/>
  <c r="I37" i="42"/>
  <c r="I34" i="42"/>
  <c r="I33" i="42"/>
  <c r="I29" i="42"/>
  <c r="I28" i="42"/>
  <c r="I18" i="42"/>
  <c r="E180" i="44" l="1"/>
  <c r="E154" i="44"/>
  <c r="D137" i="44"/>
  <c r="D176" i="42"/>
  <c r="E174" i="42"/>
  <c r="S174" i="42" s="1"/>
  <c r="D61" i="42"/>
  <c r="R174" i="42"/>
  <c r="R148" i="42"/>
  <c r="E148" i="42"/>
  <c r="H159" i="42"/>
  <c r="S148" i="42" l="1"/>
  <c r="R154" i="44"/>
  <c r="R180" i="44"/>
  <c r="S180" i="44" s="1"/>
  <c r="H29" i="44"/>
  <c r="H22" i="42"/>
  <c r="H47" i="41"/>
  <c r="H29" i="41"/>
  <c r="R29" i="41" s="1"/>
  <c r="E119" i="44" l="1"/>
  <c r="E120" i="44"/>
  <c r="E121" i="44"/>
  <c r="E193" i="44"/>
  <c r="D87" i="44"/>
  <c r="C87" i="44"/>
  <c r="E187" i="42"/>
  <c r="R119" i="44"/>
  <c r="R70" i="42"/>
  <c r="R71" i="42"/>
  <c r="R72" i="42"/>
  <c r="R73" i="42"/>
  <c r="R74" i="42"/>
  <c r="R75" i="42"/>
  <c r="R76" i="42"/>
  <c r="R77" i="42"/>
  <c r="R78" i="42"/>
  <c r="R79" i="42"/>
  <c r="R82" i="42"/>
  <c r="G194" i="44"/>
  <c r="J194" i="44"/>
  <c r="I194" i="44"/>
  <c r="F194" i="44"/>
  <c r="E194" i="44"/>
  <c r="D194" i="44"/>
  <c r="C194" i="44"/>
  <c r="K193" i="44"/>
  <c r="K194" i="44" s="1"/>
  <c r="H194" i="44"/>
  <c r="F137" i="44"/>
  <c r="R193" i="44" l="1"/>
  <c r="S119" i="44"/>
  <c r="G47" i="41"/>
  <c r="G140" i="42"/>
  <c r="G136" i="42"/>
  <c r="G132" i="42"/>
  <c r="G131" i="42"/>
  <c r="G130" i="42"/>
  <c r="G127" i="42"/>
  <c r="G126" i="42"/>
  <c r="G125" i="42"/>
  <c r="G118" i="42"/>
  <c r="G117" i="42"/>
  <c r="G113" i="42"/>
  <c r="G103" i="42"/>
  <c r="G102" i="42"/>
  <c r="G101" i="42"/>
  <c r="G100" i="42"/>
  <c r="G95" i="42"/>
  <c r="G86" i="42"/>
  <c r="G69" i="42"/>
  <c r="G64" i="42"/>
  <c r="G62" i="42"/>
  <c r="G59" i="42"/>
  <c r="G39" i="42"/>
  <c r="G37" i="42"/>
  <c r="G34" i="42"/>
  <c r="G33" i="42"/>
  <c r="G29" i="42"/>
  <c r="G28" i="42"/>
  <c r="G18" i="42"/>
  <c r="R187" i="42"/>
  <c r="R188" i="42" s="1"/>
  <c r="G188" i="42"/>
  <c r="F188" i="42"/>
  <c r="E188" i="42"/>
  <c r="D188" i="42"/>
  <c r="C188" i="42"/>
  <c r="G83" i="42" l="1"/>
  <c r="R194" i="44"/>
  <c r="S193" i="44"/>
  <c r="S194" i="44" s="1"/>
  <c r="S187" i="42"/>
  <c r="S188" i="42" s="1"/>
  <c r="R115" i="42"/>
  <c r="E115" i="42"/>
  <c r="E42" i="41"/>
  <c r="S42" i="41" s="1"/>
  <c r="F47" i="41"/>
  <c r="F132" i="42"/>
  <c r="F131" i="42"/>
  <c r="F127" i="42"/>
  <c r="F125" i="42"/>
  <c r="F122" i="42"/>
  <c r="F116" i="42"/>
  <c r="F113" i="42"/>
  <c r="F103" i="42"/>
  <c r="F102" i="42"/>
  <c r="F100" i="42"/>
  <c r="F95" i="42"/>
  <c r="F86" i="42"/>
  <c r="F80" i="42"/>
  <c r="R80" i="42" s="1"/>
  <c r="F69" i="42"/>
  <c r="R69" i="42" s="1"/>
  <c r="F64" i="42"/>
  <c r="F54" i="42"/>
  <c r="F53" i="42"/>
  <c r="F47" i="42"/>
  <c r="F43" i="42"/>
  <c r="F42" i="42"/>
  <c r="F39" i="42"/>
  <c r="F37" i="42"/>
  <c r="F36" i="42"/>
  <c r="F34" i="42"/>
  <c r="F33" i="42"/>
  <c r="F29" i="42"/>
  <c r="F18" i="42"/>
  <c r="E14" i="41"/>
  <c r="S14" i="41" s="1"/>
  <c r="E15" i="41"/>
  <c r="E16" i="41"/>
  <c r="E17" i="41"/>
  <c r="E18" i="41"/>
  <c r="S18" i="41" s="1"/>
  <c r="E190" i="42"/>
  <c r="E183" i="42"/>
  <c r="E167" i="42"/>
  <c r="E168" i="42"/>
  <c r="E169" i="42"/>
  <c r="E170" i="42"/>
  <c r="E171" i="42"/>
  <c r="E172" i="42"/>
  <c r="E173" i="42"/>
  <c r="E175" i="42"/>
  <c r="E176" i="42"/>
  <c r="E177" i="42"/>
  <c r="E178" i="42"/>
  <c r="E179" i="42"/>
  <c r="E166" i="42"/>
  <c r="E162" i="42"/>
  <c r="E137" i="42"/>
  <c r="E138" i="42"/>
  <c r="E139" i="42"/>
  <c r="E140" i="42"/>
  <c r="E141" i="42"/>
  <c r="E142" i="42"/>
  <c r="E143" i="42"/>
  <c r="E144" i="42"/>
  <c r="E145" i="42"/>
  <c r="E146" i="42"/>
  <c r="E147" i="42"/>
  <c r="E149" i="42"/>
  <c r="E150" i="42"/>
  <c r="E151" i="42"/>
  <c r="E152" i="42"/>
  <c r="E153" i="42"/>
  <c r="E154" i="42"/>
  <c r="E155" i="42"/>
  <c r="E156" i="42"/>
  <c r="E157" i="42"/>
  <c r="E158" i="42"/>
  <c r="E136" i="42"/>
  <c r="E87" i="42"/>
  <c r="E88" i="42"/>
  <c r="E89" i="42"/>
  <c r="E90" i="42"/>
  <c r="E91" i="42"/>
  <c r="E92" i="42"/>
  <c r="E93" i="42"/>
  <c r="E94" i="42"/>
  <c r="E95" i="42"/>
  <c r="E96" i="42"/>
  <c r="E97" i="42"/>
  <c r="E98" i="42"/>
  <c r="E99" i="42"/>
  <c r="E100" i="42"/>
  <c r="E101" i="42"/>
  <c r="E102" i="42"/>
  <c r="E103" i="42"/>
  <c r="E104" i="42"/>
  <c r="E105" i="42"/>
  <c r="E106" i="42"/>
  <c r="E107" i="42"/>
  <c r="E108" i="42"/>
  <c r="E109" i="42"/>
  <c r="E110" i="42"/>
  <c r="E111" i="42"/>
  <c r="E112" i="42"/>
  <c r="E113" i="42"/>
  <c r="E114" i="42"/>
  <c r="E116" i="42"/>
  <c r="E117" i="42"/>
  <c r="E118" i="42"/>
  <c r="E119" i="42"/>
  <c r="E120" i="42"/>
  <c r="E121" i="42"/>
  <c r="E122" i="42"/>
  <c r="E123" i="42"/>
  <c r="E124" i="42"/>
  <c r="E125" i="42"/>
  <c r="E126" i="42"/>
  <c r="E127" i="42"/>
  <c r="E128" i="42"/>
  <c r="E129" i="42"/>
  <c r="E130" i="42"/>
  <c r="E131" i="42"/>
  <c r="E132" i="42"/>
  <c r="E86" i="42"/>
  <c r="E29" i="42"/>
  <c r="E30" i="42"/>
  <c r="E31" i="42"/>
  <c r="E32" i="42"/>
  <c r="E33" i="42"/>
  <c r="E34" i="42"/>
  <c r="E35" i="42"/>
  <c r="E36" i="42"/>
  <c r="E37" i="42"/>
  <c r="E38" i="42"/>
  <c r="E39" i="42"/>
  <c r="E40" i="42"/>
  <c r="E41" i="42"/>
  <c r="E42" i="42"/>
  <c r="E43" i="42"/>
  <c r="E44" i="42"/>
  <c r="E45" i="42"/>
  <c r="E46" i="42"/>
  <c r="E47" i="42"/>
  <c r="E48" i="42"/>
  <c r="E49" i="42"/>
  <c r="E50" i="42"/>
  <c r="E51" i="42"/>
  <c r="E52" i="42"/>
  <c r="E53" i="42"/>
  <c r="E54" i="42"/>
  <c r="E55" i="42"/>
  <c r="E56" i="42"/>
  <c r="E57" i="42"/>
  <c r="E58" i="42"/>
  <c r="E59" i="42"/>
  <c r="E60" i="42"/>
  <c r="E61" i="42"/>
  <c r="E62" i="42"/>
  <c r="E63" i="42"/>
  <c r="E64" i="42"/>
  <c r="E65" i="42"/>
  <c r="E66" i="42"/>
  <c r="E67" i="42"/>
  <c r="E68" i="42"/>
  <c r="E69" i="42"/>
  <c r="E70" i="42"/>
  <c r="E71" i="42"/>
  <c r="E72" i="42"/>
  <c r="E73" i="42"/>
  <c r="E74" i="42"/>
  <c r="E75" i="42"/>
  <c r="E76" i="42"/>
  <c r="E77" i="42"/>
  <c r="E78" i="42"/>
  <c r="E79" i="42"/>
  <c r="E80" i="42"/>
  <c r="E82" i="42"/>
  <c r="S82" i="42" s="1"/>
  <c r="E28" i="42"/>
  <c r="E12" i="42"/>
  <c r="E14" i="42"/>
  <c r="E15" i="42"/>
  <c r="E16" i="42"/>
  <c r="E17" i="42"/>
  <c r="E18" i="42"/>
  <c r="E19" i="42"/>
  <c r="E20" i="42"/>
  <c r="E21" i="42"/>
  <c r="E22" i="42"/>
  <c r="E23" i="42"/>
  <c r="E24" i="42"/>
  <c r="E11" i="42"/>
  <c r="R166" i="42"/>
  <c r="R167" i="42"/>
  <c r="R168" i="42"/>
  <c r="R169" i="42"/>
  <c r="R170" i="42"/>
  <c r="R171" i="42"/>
  <c r="R172" i="42"/>
  <c r="R173" i="42"/>
  <c r="R175" i="42"/>
  <c r="R176" i="42"/>
  <c r="R177" i="42"/>
  <c r="R178" i="42"/>
  <c r="R136" i="42"/>
  <c r="R137" i="42"/>
  <c r="R138" i="42"/>
  <c r="R139" i="42"/>
  <c r="R140" i="42"/>
  <c r="R141" i="42"/>
  <c r="R142" i="42"/>
  <c r="R143" i="42"/>
  <c r="R144" i="42"/>
  <c r="R145" i="42"/>
  <c r="R146" i="42"/>
  <c r="R147" i="42"/>
  <c r="R149" i="42"/>
  <c r="R150" i="42"/>
  <c r="R151" i="42"/>
  <c r="R152" i="42"/>
  <c r="R153" i="42"/>
  <c r="R154" i="42"/>
  <c r="R155" i="42"/>
  <c r="R156" i="42"/>
  <c r="R157" i="42"/>
  <c r="R158" i="42"/>
  <c r="F83" i="42" l="1"/>
  <c r="F77" i="41"/>
  <c r="R47" i="41"/>
  <c r="S115" i="42"/>
  <c r="R88" i="44" l="1"/>
  <c r="Q89" i="44"/>
  <c r="Q139" i="44"/>
  <c r="Q138" i="44"/>
  <c r="Q88" i="44"/>
  <c r="E19" i="44" l="1"/>
  <c r="E110" i="44"/>
  <c r="E111" i="44"/>
  <c r="E143" i="44"/>
  <c r="E144" i="44"/>
  <c r="E178" i="44"/>
  <c r="R197" i="44"/>
  <c r="R189" i="44"/>
  <c r="R173" i="44"/>
  <c r="R174" i="44"/>
  <c r="R175" i="44"/>
  <c r="R176" i="44"/>
  <c r="R177" i="44"/>
  <c r="R178" i="44"/>
  <c r="R179" i="44"/>
  <c r="R181" i="44"/>
  <c r="R182" i="44"/>
  <c r="R183" i="44"/>
  <c r="R184" i="44"/>
  <c r="R185" i="44"/>
  <c r="R172" i="44"/>
  <c r="R168" i="44"/>
  <c r="R143" i="44"/>
  <c r="R144" i="44"/>
  <c r="R145" i="44"/>
  <c r="R146" i="44"/>
  <c r="R147" i="44"/>
  <c r="R148" i="44"/>
  <c r="R149" i="44"/>
  <c r="R150" i="44"/>
  <c r="R151" i="44"/>
  <c r="R152" i="44"/>
  <c r="R153" i="44"/>
  <c r="R155" i="44"/>
  <c r="R156" i="44"/>
  <c r="R157" i="44"/>
  <c r="R158" i="44"/>
  <c r="R159" i="44"/>
  <c r="R160" i="44"/>
  <c r="R161" i="44"/>
  <c r="R162" i="44"/>
  <c r="R163" i="44"/>
  <c r="R164" i="44"/>
  <c r="R142" i="44"/>
  <c r="R33" i="44"/>
  <c r="R34" i="44"/>
  <c r="R35" i="44"/>
  <c r="R36" i="44"/>
  <c r="R37" i="44"/>
  <c r="R38" i="44"/>
  <c r="R39" i="44"/>
  <c r="R40" i="44"/>
  <c r="R41" i="44"/>
  <c r="R42" i="44"/>
  <c r="R43" i="44"/>
  <c r="R44" i="44"/>
  <c r="R45" i="44"/>
  <c r="R46" i="44"/>
  <c r="R47" i="44"/>
  <c r="R48" i="44"/>
  <c r="R49" i="44"/>
  <c r="R50" i="44"/>
  <c r="R51" i="44"/>
  <c r="R52" i="44"/>
  <c r="R53" i="44"/>
  <c r="R54" i="44"/>
  <c r="R55" i="44"/>
  <c r="R56" i="44"/>
  <c r="R57" i="44"/>
  <c r="R58" i="44"/>
  <c r="R59" i="44"/>
  <c r="R60" i="44"/>
  <c r="R61" i="44"/>
  <c r="R62" i="44"/>
  <c r="R63" i="44"/>
  <c r="R64" i="44"/>
  <c r="R65" i="44"/>
  <c r="R66" i="44"/>
  <c r="R67" i="44"/>
  <c r="R68" i="44"/>
  <c r="R69" i="44"/>
  <c r="R70" i="44"/>
  <c r="R71" i="44"/>
  <c r="R72" i="44"/>
  <c r="R73" i="44"/>
  <c r="R74" i="44"/>
  <c r="R75" i="44"/>
  <c r="R76" i="44"/>
  <c r="R77" i="44"/>
  <c r="R78" i="44"/>
  <c r="R79" i="44"/>
  <c r="R80" i="44"/>
  <c r="R81" i="44"/>
  <c r="R82" i="44"/>
  <c r="R83" i="44"/>
  <c r="R84" i="44"/>
  <c r="R90" i="44"/>
  <c r="R91" i="44"/>
  <c r="R92" i="44"/>
  <c r="R93" i="44"/>
  <c r="R94" i="44"/>
  <c r="R95" i="44"/>
  <c r="R96" i="44"/>
  <c r="R97" i="44"/>
  <c r="R98" i="44"/>
  <c r="R99" i="44"/>
  <c r="R100" i="44"/>
  <c r="R101" i="44"/>
  <c r="R102" i="44"/>
  <c r="R103" i="44"/>
  <c r="R104" i="44"/>
  <c r="R105" i="44"/>
  <c r="R106" i="44"/>
  <c r="R107" i="44"/>
  <c r="R108" i="44"/>
  <c r="R109" i="44"/>
  <c r="R110" i="44"/>
  <c r="R111" i="44"/>
  <c r="R112" i="44"/>
  <c r="R113" i="44"/>
  <c r="R114" i="44"/>
  <c r="R115" i="44"/>
  <c r="R116" i="44"/>
  <c r="R117" i="44"/>
  <c r="R118" i="44"/>
  <c r="R120" i="44"/>
  <c r="R121" i="44"/>
  <c r="R122" i="44"/>
  <c r="R123" i="44"/>
  <c r="R124" i="44"/>
  <c r="R125" i="44"/>
  <c r="R126" i="44"/>
  <c r="R127" i="44"/>
  <c r="R128" i="44"/>
  <c r="R129" i="44"/>
  <c r="R130" i="44"/>
  <c r="R131" i="44"/>
  <c r="R132" i="44"/>
  <c r="R133" i="44"/>
  <c r="R134" i="44"/>
  <c r="R135" i="44"/>
  <c r="R136" i="44"/>
  <c r="R32" i="44"/>
  <c r="R12" i="44"/>
  <c r="R13" i="44"/>
  <c r="R14" i="44"/>
  <c r="R15" i="44"/>
  <c r="R16" i="44"/>
  <c r="R17" i="44"/>
  <c r="R18" i="44"/>
  <c r="R19" i="44"/>
  <c r="R20" i="44"/>
  <c r="R21" i="44"/>
  <c r="R22" i="44"/>
  <c r="R23" i="44"/>
  <c r="R24" i="44"/>
  <c r="R25" i="44"/>
  <c r="R26" i="44"/>
  <c r="R27" i="44"/>
  <c r="R28" i="44"/>
  <c r="Q87" i="44"/>
  <c r="Q186" i="44"/>
  <c r="Q165" i="44"/>
  <c r="Q137" i="44"/>
  <c r="Q140" i="44" s="1"/>
  <c r="Q29" i="44"/>
  <c r="S15" i="41"/>
  <c r="S16" i="41"/>
  <c r="S17" i="41"/>
  <c r="R190" i="42"/>
  <c r="R183" i="42"/>
  <c r="S172" i="42"/>
  <c r="R179" i="42"/>
  <c r="R162" i="42"/>
  <c r="S137" i="42"/>
  <c r="R87" i="42"/>
  <c r="R88" i="42"/>
  <c r="R89" i="42"/>
  <c r="R90" i="42"/>
  <c r="R91" i="42"/>
  <c r="R92" i="42"/>
  <c r="R93" i="42"/>
  <c r="R94" i="42"/>
  <c r="R95" i="42"/>
  <c r="R96" i="42"/>
  <c r="R97" i="42"/>
  <c r="R98" i="42"/>
  <c r="R99" i="42"/>
  <c r="R100" i="42"/>
  <c r="R101" i="42"/>
  <c r="R102" i="42"/>
  <c r="R103" i="42"/>
  <c r="R104" i="42"/>
  <c r="R105" i="42"/>
  <c r="R106" i="42"/>
  <c r="S106" i="42" s="1"/>
  <c r="R107" i="42"/>
  <c r="R108" i="42"/>
  <c r="R109" i="42"/>
  <c r="R110" i="42"/>
  <c r="R111" i="42"/>
  <c r="R112" i="42"/>
  <c r="R113" i="42"/>
  <c r="R114" i="42"/>
  <c r="R116" i="42"/>
  <c r="R117" i="42"/>
  <c r="R118" i="42"/>
  <c r="R119" i="42"/>
  <c r="R120" i="42"/>
  <c r="R121" i="42"/>
  <c r="R122" i="42"/>
  <c r="R123" i="42"/>
  <c r="R124" i="42"/>
  <c r="R125" i="42"/>
  <c r="R126" i="42"/>
  <c r="R127" i="42"/>
  <c r="R128" i="42"/>
  <c r="R129" i="42"/>
  <c r="R130" i="42"/>
  <c r="R131" i="42"/>
  <c r="R132" i="42"/>
  <c r="R86" i="42"/>
  <c r="R29" i="42"/>
  <c r="R30" i="42"/>
  <c r="R31" i="42"/>
  <c r="R32" i="42"/>
  <c r="R33" i="42"/>
  <c r="R34" i="42"/>
  <c r="R35" i="42"/>
  <c r="R36" i="42"/>
  <c r="R37" i="42"/>
  <c r="R38" i="42"/>
  <c r="R39" i="42"/>
  <c r="R40" i="42"/>
  <c r="R41" i="42"/>
  <c r="R42" i="42"/>
  <c r="R43" i="42"/>
  <c r="R44" i="42"/>
  <c r="R45" i="42"/>
  <c r="R46" i="42"/>
  <c r="R47" i="42"/>
  <c r="R48" i="42"/>
  <c r="R49" i="42"/>
  <c r="R50" i="42"/>
  <c r="R51" i="42"/>
  <c r="R52" i="42"/>
  <c r="R53" i="42"/>
  <c r="R54" i="42"/>
  <c r="R55" i="42"/>
  <c r="R56" i="42"/>
  <c r="R57" i="42"/>
  <c r="R58" i="42"/>
  <c r="R59" i="42"/>
  <c r="R60" i="42"/>
  <c r="R61" i="42"/>
  <c r="R62" i="42"/>
  <c r="R63" i="42"/>
  <c r="R64" i="42"/>
  <c r="R65" i="42"/>
  <c r="R66" i="42"/>
  <c r="R67" i="42"/>
  <c r="R68" i="42"/>
  <c r="R28" i="42"/>
  <c r="R83" i="42" s="1"/>
  <c r="R12" i="42"/>
  <c r="R14" i="42"/>
  <c r="R15" i="42"/>
  <c r="R16" i="42"/>
  <c r="R17" i="42"/>
  <c r="R18" i="42"/>
  <c r="R19" i="42"/>
  <c r="S19" i="42" s="1"/>
  <c r="R20" i="42"/>
  <c r="R21" i="42"/>
  <c r="R22" i="42"/>
  <c r="R23" i="42"/>
  <c r="R24" i="42"/>
  <c r="Q194" i="42"/>
  <c r="S11" i="42"/>
  <c r="S19" i="44" l="1"/>
  <c r="S178" i="44"/>
  <c r="S143" i="44"/>
  <c r="S110" i="44"/>
  <c r="Q201" i="44"/>
  <c r="E108" i="44"/>
  <c r="E91" i="44"/>
  <c r="E65" i="44"/>
  <c r="E60" i="44"/>
  <c r="P194" i="42" l="1"/>
  <c r="D22" i="41" l="1"/>
  <c r="S91" i="44" l="1"/>
  <c r="S65" i="44"/>
  <c r="P186" i="44"/>
  <c r="P165" i="44"/>
  <c r="P137" i="44"/>
  <c r="P87" i="44"/>
  <c r="P29" i="44"/>
  <c r="P201" i="44" l="1"/>
  <c r="S87" i="42" l="1"/>
  <c r="S61" i="42"/>
  <c r="D133" i="42"/>
  <c r="F133" i="42"/>
  <c r="G133" i="42"/>
  <c r="H133" i="42"/>
  <c r="I133" i="42"/>
  <c r="D25" i="42"/>
  <c r="F25" i="42"/>
  <c r="G25" i="42"/>
  <c r="H25" i="42"/>
  <c r="I25" i="42"/>
  <c r="E66" i="41"/>
  <c r="S66" i="41" s="1"/>
  <c r="E49" i="41"/>
  <c r="S49" i="41" s="1"/>
  <c r="E38" i="41"/>
  <c r="S38" i="41" s="1"/>
  <c r="E31" i="41"/>
  <c r="S31" i="41" s="1"/>
  <c r="E28" i="41"/>
  <c r="S28" i="41" s="1"/>
  <c r="R159" i="42" l="1"/>
  <c r="R133" i="42"/>
  <c r="D80" i="41"/>
  <c r="S108" i="44" l="1"/>
  <c r="S60" i="44"/>
  <c r="O186" i="44"/>
  <c r="O165" i="44"/>
  <c r="O137" i="44"/>
  <c r="O87" i="44"/>
  <c r="O29" i="44"/>
  <c r="N29" i="44"/>
  <c r="N186" i="44"/>
  <c r="N165" i="44"/>
  <c r="N137" i="44"/>
  <c r="N87" i="44"/>
  <c r="O80" i="41"/>
  <c r="R80" i="41"/>
  <c r="N80" i="41"/>
  <c r="E79" i="41"/>
  <c r="E80" i="41" s="1"/>
  <c r="C80" i="41"/>
  <c r="E74" i="41"/>
  <c r="E51" i="41"/>
  <c r="S51" i="41" s="1"/>
  <c r="O201" i="44" l="1"/>
  <c r="N201" i="44"/>
  <c r="S79" i="41"/>
  <c r="S80" i="41" s="1"/>
  <c r="S74" i="41"/>
  <c r="O194" i="42"/>
  <c r="S104" i="42"/>
  <c r="N194" i="42"/>
  <c r="S56" i="42"/>
  <c r="M198" i="44" l="1"/>
  <c r="M186" i="44"/>
  <c r="L169" i="44"/>
  <c r="M169" i="44"/>
  <c r="M165" i="44"/>
  <c r="M137" i="44"/>
  <c r="M87" i="44"/>
  <c r="M29" i="44"/>
  <c r="E152" i="44"/>
  <c r="S152" i="44" s="1"/>
  <c r="E153" i="44"/>
  <c r="S153" i="44" s="1"/>
  <c r="M201" i="44" l="1"/>
  <c r="S147" i="42" l="1"/>
  <c r="S146" i="42"/>
  <c r="L27" i="42"/>
  <c r="M191" i="42"/>
  <c r="M163" i="42"/>
  <c r="M194" i="42" l="1"/>
  <c r="F165" i="44" l="1"/>
  <c r="K27" i="42"/>
  <c r="L186" i="44" l="1"/>
  <c r="L165" i="44"/>
  <c r="L137" i="44"/>
  <c r="L87" i="44"/>
  <c r="L29" i="44"/>
  <c r="E40" i="41"/>
  <c r="S40" i="41" s="1"/>
  <c r="L194" i="42"/>
  <c r="L201" i="44" l="1"/>
  <c r="K198" i="44" l="1"/>
  <c r="K190" i="44"/>
  <c r="K186" i="44"/>
  <c r="K169" i="44"/>
  <c r="K165" i="44"/>
  <c r="K137" i="44"/>
  <c r="K87" i="44"/>
  <c r="K29" i="44"/>
  <c r="J198" i="44"/>
  <c r="J190" i="44"/>
  <c r="J169" i="44"/>
  <c r="J186" i="44"/>
  <c r="J165" i="44"/>
  <c r="J137" i="44"/>
  <c r="J29" i="44"/>
  <c r="I165" i="44"/>
  <c r="I137" i="44"/>
  <c r="I87" i="44"/>
  <c r="I29" i="44"/>
  <c r="H186" i="44"/>
  <c r="H169" i="44"/>
  <c r="H165" i="44"/>
  <c r="H137" i="44"/>
  <c r="E184" i="44"/>
  <c r="S184" i="44" s="1"/>
  <c r="E176" i="44"/>
  <c r="S176" i="44" s="1"/>
  <c r="E177" i="44"/>
  <c r="S177" i="44" s="1"/>
  <c r="E179" i="44"/>
  <c r="S179" i="44" s="1"/>
  <c r="E160" i="44"/>
  <c r="S160" i="44" s="1"/>
  <c r="E161" i="44"/>
  <c r="S161" i="44" s="1"/>
  <c r="F87" i="44"/>
  <c r="G87" i="44"/>
  <c r="H87" i="44"/>
  <c r="E112" i="44"/>
  <c r="S112" i="44" s="1"/>
  <c r="E113" i="44"/>
  <c r="S113" i="44" s="1"/>
  <c r="E114" i="44"/>
  <c r="S114" i="44" s="1"/>
  <c r="E115" i="44"/>
  <c r="S115" i="44" s="1"/>
  <c r="E86" i="44"/>
  <c r="S86" i="44" s="1"/>
  <c r="E62" i="44"/>
  <c r="S62" i="44" s="1"/>
  <c r="E48" i="44"/>
  <c r="S48" i="44" s="1"/>
  <c r="E45" i="44"/>
  <c r="S45" i="44" s="1"/>
  <c r="D186" i="44"/>
  <c r="E76" i="41"/>
  <c r="S76" i="41" s="1"/>
  <c r="E73" i="41"/>
  <c r="S73" i="41" s="1"/>
  <c r="E68" i="41"/>
  <c r="S68" i="41" s="1"/>
  <c r="E69" i="41"/>
  <c r="S69" i="41" s="1"/>
  <c r="E65" i="41"/>
  <c r="S65" i="41" s="1"/>
  <c r="E61" i="41"/>
  <c r="S61" i="41" s="1"/>
  <c r="E62" i="41"/>
  <c r="E63" i="41"/>
  <c r="S63" i="41" s="1"/>
  <c r="E59" i="41"/>
  <c r="S59" i="41" s="1"/>
  <c r="E53" i="41"/>
  <c r="S53" i="41" s="1"/>
  <c r="E54" i="41"/>
  <c r="S54" i="41" s="1"/>
  <c r="E55" i="41"/>
  <c r="S55" i="41" s="1"/>
  <c r="E48" i="41"/>
  <c r="S48" i="41" s="1"/>
  <c r="E39" i="41"/>
  <c r="S39" i="41" s="1"/>
  <c r="E33" i="41"/>
  <c r="S33" i="41" s="1"/>
  <c r="E27" i="41"/>
  <c r="S27" i="41" s="1"/>
  <c r="E29" i="41"/>
  <c r="S29" i="41" s="1"/>
  <c r="S62" i="41"/>
  <c r="E44" i="41"/>
  <c r="S44" i="41" s="1"/>
  <c r="F45" i="41"/>
  <c r="G45" i="41"/>
  <c r="H45" i="41"/>
  <c r="D45" i="41"/>
  <c r="D77" i="41"/>
  <c r="R77" i="41"/>
  <c r="R45" i="41"/>
  <c r="R22" i="41"/>
  <c r="D83" i="42"/>
  <c r="S178" i="42"/>
  <c r="S108" i="42"/>
  <c r="S109" i="42"/>
  <c r="S170" i="42"/>
  <c r="S154" i="42"/>
  <c r="R180" i="42"/>
  <c r="K194" i="42"/>
  <c r="I77" i="41"/>
  <c r="C77" i="41"/>
  <c r="I45" i="41"/>
  <c r="I22" i="41"/>
  <c r="R84" i="41" l="1"/>
  <c r="H201" i="44"/>
  <c r="R87" i="44"/>
  <c r="J201" i="44"/>
  <c r="I201" i="44"/>
  <c r="K201" i="44"/>
  <c r="I84" i="41"/>
  <c r="I180" i="42"/>
  <c r="S58" i="42"/>
  <c r="I159" i="42"/>
  <c r="I83" i="42"/>
  <c r="S41" i="42"/>
  <c r="I194" i="42" l="1"/>
  <c r="S44" i="42"/>
  <c r="H77" i="41" l="1"/>
  <c r="H22" i="41"/>
  <c r="H83" i="42"/>
  <c r="C83" i="42"/>
  <c r="H163" i="42"/>
  <c r="H180" i="42"/>
  <c r="H191" i="42"/>
  <c r="H84" i="41" l="1"/>
  <c r="H194" i="42"/>
  <c r="E132" i="44"/>
  <c r="S132" i="44" s="1"/>
  <c r="E82" i="44"/>
  <c r="S82" i="44" s="1"/>
  <c r="G190" i="44"/>
  <c r="G198" i="44"/>
  <c r="G186" i="44"/>
  <c r="G169" i="44"/>
  <c r="G165" i="44"/>
  <c r="G137" i="44"/>
  <c r="G29" i="44"/>
  <c r="G201" i="44" l="1"/>
  <c r="G77" i="41" l="1"/>
  <c r="G22" i="41"/>
  <c r="E75" i="41"/>
  <c r="S75" i="41" s="1"/>
  <c r="E50" i="41"/>
  <c r="S50" i="41" s="1"/>
  <c r="E52" i="41"/>
  <c r="S52" i="41" s="1"/>
  <c r="E56" i="41"/>
  <c r="S56" i="41" s="1"/>
  <c r="E57" i="41"/>
  <c r="S57" i="41" s="1"/>
  <c r="E58" i="41"/>
  <c r="S58" i="41" s="1"/>
  <c r="E60" i="41"/>
  <c r="S60" i="41" s="1"/>
  <c r="E64" i="41"/>
  <c r="S64" i="41" s="1"/>
  <c r="E67" i="41"/>
  <c r="S67" i="41" s="1"/>
  <c r="E70" i="41"/>
  <c r="S70" i="41" s="1"/>
  <c r="E71" i="41"/>
  <c r="S71" i="41" s="1"/>
  <c r="E72" i="41"/>
  <c r="S72" i="41" s="1"/>
  <c r="E47" i="41"/>
  <c r="C22" i="41"/>
  <c r="C45" i="41"/>
  <c r="E43" i="41"/>
  <c r="S43" i="41" s="1"/>
  <c r="E41" i="41"/>
  <c r="S41" i="41" s="1"/>
  <c r="E36" i="41"/>
  <c r="S36" i="41" s="1"/>
  <c r="E35" i="41"/>
  <c r="S35" i="41" s="1"/>
  <c r="E34" i="41"/>
  <c r="S34" i="41" s="1"/>
  <c r="E25" i="41"/>
  <c r="S25" i="41" s="1"/>
  <c r="E26" i="41"/>
  <c r="S26" i="41" s="1"/>
  <c r="E30" i="41"/>
  <c r="S30" i="41" s="1"/>
  <c r="E32" i="41"/>
  <c r="S32" i="41" s="1"/>
  <c r="E24" i="41"/>
  <c r="S24" i="41" s="1"/>
  <c r="G191" i="42"/>
  <c r="G163" i="42"/>
  <c r="G180" i="42"/>
  <c r="G159" i="42"/>
  <c r="S128" i="42"/>
  <c r="S78" i="42"/>
  <c r="C84" i="41" l="1"/>
  <c r="G194" i="42"/>
  <c r="E77" i="41"/>
  <c r="S47" i="41"/>
  <c r="S77" i="41" s="1"/>
  <c r="G84" i="41"/>
  <c r="R198" i="44"/>
  <c r="R190" i="44"/>
  <c r="R186" i="44"/>
  <c r="R169" i="44"/>
  <c r="R137" i="44"/>
  <c r="E197" i="44"/>
  <c r="S197" i="44" s="1"/>
  <c r="S198" i="44" s="1"/>
  <c r="E189" i="44"/>
  <c r="S189" i="44" s="1"/>
  <c r="S190" i="44" s="1"/>
  <c r="E173" i="44"/>
  <c r="S173" i="44" s="1"/>
  <c r="E174" i="44"/>
  <c r="S174" i="44" s="1"/>
  <c r="E175" i="44"/>
  <c r="S175" i="44" s="1"/>
  <c r="E181" i="44"/>
  <c r="S181" i="44" s="1"/>
  <c r="E182" i="44"/>
  <c r="S182" i="44" s="1"/>
  <c r="E183" i="44"/>
  <c r="S183" i="44" s="1"/>
  <c r="E185" i="44"/>
  <c r="S185" i="44" s="1"/>
  <c r="E172" i="44"/>
  <c r="E168" i="44"/>
  <c r="S168" i="44" s="1"/>
  <c r="S169" i="44" s="1"/>
  <c r="E145" i="44"/>
  <c r="E146" i="44"/>
  <c r="E147" i="44"/>
  <c r="E148" i="44"/>
  <c r="E149" i="44"/>
  <c r="E150" i="44"/>
  <c r="E151" i="44"/>
  <c r="S151" i="44" s="1"/>
  <c r="E155" i="44"/>
  <c r="S155" i="44" s="1"/>
  <c r="E156" i="44"/>
  <c r="S156" i="44" s="1"/>
  <c r="E157" i="44"/>
  <c r="S157" i="44" s="1"/>
  <c r="E158" i="44"/>
  <c r="S158" i="44" s="1"/>
  <c r="E159" i="44"/>
  <c r="S159" i="44" s="1"/>
  <c r="E162" i="44"/>
  <c r="E163" i="44"/>
  <c r="E164" i="44"/>
  <c r="E142" i="44"/>
  <c r="E92" i="44"/>
  <c r="E93" i="44"/>
  <c r="E94" i="44"/>
  <c r="E95" i="44"/>
  <c r="E96" i="44"/>
  <c r="E97" i="44"/>
  <c r="E98" i="44"/>
  <c r="E99" i="44"/>
  <c r="E100" i="44"/>
  <c r="E101" i="44"/>
  <c r="E102" i="44"/>
  <c r="E103" i="44"/>
  <c r="E104" i="44"/>
  <c r="E105" i="44"/>
  <c r="E106" i="44"/>
  <c r="E107" i="44"/>
  <c r="E109" i="44"/>
  <c r="E116" i="44"/>
  <c r="S116" i="44" s="1"/>
  <c r="E117" i="44"/>
  <c r="S117" i="44" s="1"/>
  <c r="E118" i="44"/>
  <c r="S118" i="44" s="1"/>
  <c r="S120" i="44"/>
  <c r="S121" i="44"/>
  <c r="E122" i="44"/>
  <c r="E123" i="44"/>
  <c r="E124" i="44"/>
  <c r="E125" i="44"/>
  <c r="E126" i="44"/>
  <c r="E127" i="44"/>
  <c r="E128" i="44"/>
  <c r="E129" i="44"/>
  <c r="E130" i="44"/>
  <c r="E131" i="44"/>
  <c r="E133" i="44"/>
  <c r="S133" i="44" s="1"/>
  <c r="E134" i="44"/>
  <c r="S134" i="44" s="1"/>
  <c r="E135" i="44"/>
  <c r="E136" i="44"/>
  <c r="E90" i="44"/>
  <c r="E33" i="44"/>
  <c r="S33" i="44" s="1"/>
  <c r="E34" i="44"/>
  <c r="S34" i="44" s="1"/>
  <c r="E35" i="44"/>
  <c r="S35" i="44" s="1"/>
  <c r="E36" i="44"/>
  <c r="S36" i="44" s="1"/>
  <c r="E37" i="44"/>
  <c r="S37" i="44" s="1"/>
  <c r="E38" i="44"/>
  <c r="S38" i="44" s="1"/>
  <c r="E39" i="44"/>
  <c r="S39" i="44" s="1"/>
  <c r="E40" i="44"/>
  <c r="S40" i="44" s="1"/>
  <c r="E41" i="44"/>
  <c r="S41" i="44" s="1"/>
  <c r="E42" i="44"/>
  <c r="S42" i="44" s="1"/>
  <c r="E43" i="44"/>
  <c r="S43" i="44" s="1"/>
  <c r="E44" i="44"/>
  <c r="S44" i="44" s="1"/>
  <c r="E46" i="44"/>
  <c r="S46" i="44" s="1"/>
  <c r="E47" i="44"/>
  <c r="S47" i="44" s="1"/>
  <c r="E49" i="44"/>
  <c r="S49" i="44" s="1"/>
  <c r="E50" i="44"/>
  <c r="S50" i="44" s="1"/>
  <c r="E51" i="44"/>
  <c r="S51" i="44" s="1"/>
  <c r="E52" i="44"/>
  <c r="S52" i="44" s="1"/>
  <c r="E53" i="44"/>
  <c r="S53" i="44" s="1"/>
  <c r="E54" i="44"/>
  <c r="S54" i="44" s="1"/>
  <c r="E55" i="44"/>
  <c r="S55" i="44" s="1"/>
  <c r="E56" i="44"/>
  <c r="S56" i="44" s="1"/>
  <c r="E57" i="44"/>
  <c r="S57" i="44" s="1"/>
  <c r="E58" i="44"/>
  <c r="S58" i="44" s="1"/>
  <c r="E59" i="44"/>
  <c r="S59" i="44" s="1"/>
  <c r="E61" i="44"/>
  <c r="S61" i="44" s="1"/>
  <c r="E63" i="44"/>
  <c r="S63" i="44" s="1"/>
  <c r="E64" i="44"/>
  <c r="S64" i="44" s="1"/>
  <c r="E66" i="44"/>
  <c r="S66" i="44" s="1"/>
  <c r="E67" i="44"/>
  <c r="S67" i="44" s="1"/>
  <c r="E68" i="44"/>
  <c r="S68" i="44" s="1"/>
  <c r="E69" i="44"/>
  <c r="S69" i="44" s="1"/>
  <c r="E70" i="44"/>
  <c r="S70" i="44" s="1"/>
  <c r="E71" i="44"/>
  <c r="S71" i="44" s="1"/>
  <c r="E72" i="44"/>
  <c r="S72" i="44" s="1"/>
  <c r="E73" i="44"/>
  <c r="S73" i="44" s="1"/>
  <c r="E74" i="44"/>
  <c r="S74" i="44" s="1"/>
  <c r="E75" i="44"/>
  <c r="S75" i="44" s="1"/>
  <c r="E76" i="44"/>
  <c r="S76" i="44" s="1"/>
  <c r="E77" i="44"/>
  <c r="S77" i="44" s="1"/>
  <c r="E78" i="44"/>
  <c r="S78" i="44" s="1"/>
  <c r="E79" i="44"/>
  <c r="S79" i="44" s="1"/>
  <c r="E80" i="44"/>
  <c r="S80" i="44" s="1"/>
  <c r="E81" i="44"/>
  <c r="S81" i="44" s="1"/>
  <c r="E83" i="44"/>
  <c r="S83" i="44" s="1"/>
  <c r="E84" i="44"/>
  <c r="S84" i="44" s="1"/>
  <c r="E32" i="44"/>
  <c r="E12" i="44"/>
  <c r="S12" i="44" s="1"/>
  <c r="E13" i="44"/>
  <c r="S13" i="44" s="1"/>
  <c r="E14" i="44"/>
  <c r="S14" i="44" s="1"/>
  <c r="E15" i="44"/>
  <c r="S15" i="44" s="1"/>
  <c r="E16" i="44"/>
  <c r="S16" i="44" s="1"/>
  <c r="E17" i="44"/>
  <c r="S17" i="44" s="1"/>
  <c r="E18" i="44"/>
  <c r="S18" i="44" s="1"/>
  <c r="E20" i="44"/>
  <c r="S20" i="44" s="1"/>
  <c r="E21" i="44"/>
  <c r="S21" i="44" s="1"/>
  <c r="E22" i="44"/>
  <c r="S22" i="44" s="1"/>
  <c r="E23" i="44"/>
  <c r="S23" i="44" s="1"/>
  <c r="E24" i="44"/>
  <c r="S24" i="44" s="1"/>
  <c r="E25" i="44"/>
  <c r="S25" i="44" s="1"/>
  <c r="E26" i="44"/>
  <c r="S26" i="44" s="1"/>
  <c r="E27" i="44"/>
  <c r="S27" i="44" s="1"/>
  <c r="E28" i="44"/>
  <c r="S28" i="44" s="1"/>
  <c r="E11" i="44"/>
  <c r="S11" i="44" s="1"/>
  <c r="D165" i="44"/>
  <c r="D198" i="44"/>
  <c r="E198" i="44"/>
  <c r="F198" i="44"/>
  <c r="D190" i="44"/>
  <c r="E190" i="44"/>
  <c r="F190" i="44"/>
  <c r="D169" i="44"/>
  <c r="F169" i="44"/>
  <c r="D29" i="44"/>
  <c r="F29" i="44"/>
  <c r="F186" i="44"/>
  <c r="E37" i="41"/>
  <c r="E45" i="41" s="1"/>
  <c r="E12" i="41"/>
  <c r="E13" i="41"/>
  <c r="E19" i="41"/>
  <c r="E20" i="41"/>
  <c r="S20" i="41" s="1"/>
  <c r="E21" i="41"/>
  <c r="E11" i="41"/>
  <c r="S11" i="41" s="1"/>
  <c r="R191" i="42"/>
  <c r="R184" i="42"/>
  <c r="R163" i="42"/>
  <c r="F22" i="41"/>
  <c r="F191" i="42"/>
  <c r="F184" i="42"/>
  <c r="F180" i="42"/>
  <c r="F163" i="42"/>
  <c r="S105" i="42"/>
  <c r="S75" i="42"/>
  <c r="D191" i="42"/>
  <c r="D184" i="42"/>
  <c r="S183" i="42"/>
  <c r="S184" i="42" s="1"/>
  <c r="D180" i="42"/>
  <c r="S167" i="42"/>
  <c r="S168" i="42"/>
  <c r="S169" i="42"/>
  <c r="S171" i="42"/>
  <c r="S173" i="42"/>
  <c r="S175" i="42"/>
  <c r="S176" i="42"/>
  <c r="S177" i="42"/>
  <c r="S179" i="42"/>
  <c r="S166" i="42"/>
  <c r="D163" i="42"/>
  <c r="S162" i="42"/>
  <c r="S163" i="42" s="1"/>
  <c r="D159" i="42"/>
  <c r="S138" i="42"/>
  <c r="S142" i="42"/>
  <c r="S144" i="42"/>
  <c r="S149" i="42"/>
  <c r="S151" i="42"/>
  <c r="S153" i="42"/>
  <c r="S155" i="42"/>
  <c r="S156" i="42"/>
  <c r="S158" i="42"/>
  <c r="S136" i="42"/>
  <c r="S89" i="42"/>
  <c r="S91" i="42"/>
  <c r="S93" i="42"/>
  <c r="S95" i="42"/>
  <c r="S97" i="42"/>
  <c r="S99" i="42"/>
  <c r="S101" i="42"/>
  <c r="S102" i="42"/>
  <c r="S103" i="42"/>
  <c r="S107" i="42"/>
  <c r="S110" i="42"/>
  <c r="S111" i="42"/>
  <c r="S112" i="42"/>
  <c r="S114" i="42"/>
  <c r="S117" i="42"/>
  <c r="S118" i="42"/>
  <c r="S121" i="42"/>
  <c r="S122" i="42"/>
  <c r="S123" i="42"/>
  <c r="S124" i="42"/>
  <c r="S125" i="42"/>
  <c r="S126" i="42"/>
  <c r="S127" i="42"/>
  <c r="S129" i="42"/>
  <c r="S131" i="42"/>
  <c r="S30" i="42"/>
  <c r="S31" i="42"/>
  <c r="S32" i="42"/>
  <c r="S35" i="42"/>
  <c r="S37" i="42"/>
  <c r="S38" i="42"/>
  <c r="S39" i="42"/>
  <c r="S42" i="42"/>
  <c r="S45" i="42"/>
  <c r="S48" i="42"/>
  <c r="S50" i="42"/>
  <c r="S52" i="42"/>
  <c r="S53" i="42"/>
  <c r="S54" i="42"/>
  <c r="S57" i="42"/>
  <c r="S59" i="42"/>
  <c r="S60" i="42"/>
  <c r="S62" i="42"/>
  <c r="S63" i="42"/>
  <c r="S65" i="42"/>
  <c r="S67" i="42"/>
  <c r="S69" i="42"/>
  <c r="S70" i="42"/>
  <c r="S71" i="42"/>
  <c r="S72" i="42"/>
  <c r="S73" i="42"/>
  <c r="S74" i="42"/>
  <c r="S76" i="42"/>
  <c r="S79" i="42"/>
  <c r="S28" i="42"/>
  <c r="S14" i="42"/>
  <c r="S15" i="42"/>
  <c r="S16" i="42"/>
  <c r="S18" i="42"/>
  <c r="S20" i="42"/>
  <c r="S21" i="42"/>
  <c r="S22" i="42"/>
  <c r="S23" i="42"/>
  <c r="S24" i="42"/>
  <c r="E169" i="44" l="1"/>
  <c r="D201" i="44"/>
  <c r="D194" i="42"/>
  <c r="E133" i="42"/>
  <c r="S12" i="42"/>
  <c r="E25" i="42"/>
  <c r="D84" i="41"/>
  <c r="E137" i="44"/>
  <c r="E87" i="44"/>
  <c r="E83" i="42"/>
  <c r="E165" i="44"/>
  <c r="E186" i="44"/>
  <c r="S180" i="42"/>
  <c r="S172" i="44"/>
  <c r="S186" i="44" s="1"/>
  <c r="S164" i="44"/>
  <c r="S162" i="44"/>
  <c r="S150" i="44"/>
  <c r="S148" i="44"/>
  <c r="S146" i="44"/>
  <c r="S144" i="44"/>
  <c r="S142" i="44"/>
  <c r="S163" i="44"/>
  <c r="S149" i="44"/>
  <c r="S147" i="44"/>
  <c r="S145" i="44"/>
  <c r="R29" i="44"/>
  <c r="R201" i="44" s="1"/>
  <c r="S136" i="44"/>
  <c r="S131" i="44"/>
  <c r="S129" i="44"/>
  <c r="S127" i="44"/>
  <c r="S125" i="44"/>
  <c r="S123" i="44"/>
  <c r="S109" i="44"/>
  <c r="S106" i="44"/>
  <c r="S104" i="44"/>
  <c r="S102" i="44"/>
  <c r="S100" i="44"/>
  <c r="S98" i="44"/>
  <c r="S96" i="44"/>
  <c r="S94" i="44"/>
  <c r="S92" i="44"/>
  <c r="S90" i="44"/>
  <c r="S135" i="44"/>
  <c r="S130" i="44"/>
  <c r="S128" i="44"/>
  <c r="S126" i="44"/>
  <c r="S124" i="44"/>
  <c r="S122" i="44"/>
  <c r="S111" i="44"/>
  <c r="S107" i="44"/>
  <c r="S105" i="44"/>
  <c r="S103" i="44"/>
  <c r="S101" i="44"/>
  <c r="S99" i="44"/>
  <c r="S97" i="44"/>
  <c r="S95" i="44"/>
  <c r="S93" i="44"/>
  <c r="S32" i="44"/>
  <c r="S87" i="44" s="1"/>
  <c r="S29" i="44"/>
  <c r="E29" i="44"/>
  <c r="S37" i="41"/>
  <c r="S45" i="41" s="1"/>
  <c r="F84" i="41"/>
  <c r="S21" i="41"/>
  <c r="S19" i="41"/>
  <c r="S12" i="41"/>
  <c r="S13" i="41"/>
  <c r="S29" i="42"/>
  <c r="S83" i="42" s="1"/>
  <c r="S80" i="42"/>
  <c r="S77" i="42"/>
  <c r="S68" i="42"/>
  <c r="S66" i="42"/>
  <c r="S64" i="42"/>
  <c r="S55" i="42"/>
  <c r="S51" i="42"/>
  <c r="S49" i="42"/>
  <c r="S47" i="42"/>
  <c r="S43" i="42"/>
  <c r="S40" i="42"/>
  <c r="S36" i="42"/>
  <c r="S34" i="42"/>
  <c r="S130" i="42"/>
  <c r="S116" i="42"/>
  <c r="S113" i="42"/>
  <c r="S100" i="42"/>
  <c r="S98" i="42"/>
  <c r="S96" i="42"/>
  <c r="S94" i="42"/>
  <c r="S92" i="42"/>
  <c r="S90" i="42"/>
  <c r="S88" i="42"/>
  <c r="S157" i="42"/>
  <c r="S152" i="42"/>
  <c r="S150" i="42"/>
  <c r="S143" i="42"/>
  <c r="S139" i="42"/>
  <c r="S190" i="42"/>
  <c r="S191" i="42" s="1"/>
  <c r="S17" i="42"/>
  <c r="S46" i="42"/>
  <c r="S120" i="42"/>
  <c r="E163" i="42"/>
  <c r="E184" i="42"/>
  <c r="F159" i="42"/>
  <c r="F201" i="44"/>
  <c r="R165" i="44"/>
  <c r="R25" i="42"/>
  <c r="R194" i="42" s="1"/>
  <c r="S119" i="42"/>
  <c r="E191" i="42"/>
  <c r="S33" i="42"/>
  <c r="S140" i="42"/>
  <c r="S132" i="42"/>
  <c r="S141" i="42"/>
  <c r="S86" i="42"/>
  <c r="E22" i="41"/>
  <c r="E84" i="41" s="1"/>
  <c r="E180" i="42"/>
  <c r="E159" i="42"/>
  <c r="S145" i="42"/>
  <c r="S22" i="41" l="1"/>
  <c r="S84" i="41" s="1"/>
  <c r="E194" i="42"/>
  <c r="E201" i="44"/>
  <c r="S25" i="42"/>
  <c r="S133" i="42"/>
  <c r="S159" i="42"/>
  <c r="S165" i="44"/>
  <c r="S137" i="44"/>
  <c r="F194" i="42"/>
  <c r="S194" i="42" l="1"/>
  <c r="S201" i="44"/>
  <c r="C29" i="44"/>
  <c r="C198" i="44"/>
  <c r="C190" i="44"/>
  <c r="C186" i="44"/>
  <c r="C169" i="44"/>
  <c r="C165" i="44"/>
  <c r="C137" i="44"/>
  <c r="C191" i="42"/>
  <c r="C184" i="42"/>
  <c r="C180" i="42"/>
  <c r="C163" i="42"/>
  <c r="C159" i="42"/>
  <c r="C133" i="42"/>
  <c r="C25" i="42"/>
  <c r="C201" i="44" l="1"/>
  <c r="C194" i="42"/>
</calcChain>
</file>

<file path=xl/sharedStrings.xml><?xml version="1.0" encoding="utf-8"?>
<sst xmlns="http://schemas.openxmlformats.org/spreadsheetml/2006/main" count="856" uniqueCount="367">
  <si>
    <t>TOTAL GENERAL</t>
  </si>
  <si>
    <t>2.1.1.1.01</t>
  </si>
  <si>
    <t>2.1.1.2.02</t>
  </si>
  <si>
    <t>2.1.1.3.01</t>
  </si>
  <si>
    <t>2.1.1.4.01</t>
  </si>
  <si>
    <t>2.1.1.5.03</t>
  </si>
  <si>
    <t>2.1.1.5.04</t>
  </si>
  <si>
    <t>2.1.2.2.02</t>
  </si>
  <si>
    <t>2.1.2.2.05</t>
  </si>
  <si>
    <t>2.1.2.2.06</t>
  </si>
  <si>
    <t>2.1.4.1.01</t>
  </si>
  <si>
    <t>2.1.4.2.03</t>
  </si>
  <si>
    <t>2.1.5.1.01</t>
  </si>
  <si>
    <t>2.1.5.2.01</t>
  </si>
  <si>
    <t>2.1.5.3.01</t>
  </si>
  <si>
    <t>FONDO 0100</t>
  </si>
  <si>
    <t>2.2.1.2.01</t>
  </si>
  <si>
    <t>2.2.1.3.01</t>
  </si>
  <si>
    <t>2.2.1.4.01</t>
  </si>
  <si>
    <t>2.2.1.5.01</t>
  </si>
  <si>
    <t>2.2.1.6.01</t>
  </si>
  <si>
    <t>2.2.1.7.01</t>
  </si>
  <si>
    <t>2.2.1.8.01</t>
  </si>
  <si>
    <t>2.2.2.1.01</t>
  </si>
  <si>
    <t>2.2.2.2.01</t>
  </si>
  <si>
    <t>2.2.3.1.01</t>
  </si>
  <si>
    <t>2.2.3.2.01</t>
  </si>
  <si>
    <t>2.2.4.1.01</t>
  </si>
  <si>
    <t>2.2.4.2.01</t>
  </si>
  <si>
    <t>2.2.4.4.01</t>
  </si>
  <si>
    <t>2.2.5.1.01</t>
  </si>
  <si>
    <t>2.2.5.4.01</t>
  </si>
  <si>
    <t>2.2.5.8.01</t>
  </si>
  <si>
    <t>2.2.6.1.01</t>
  </si>
  <si>
    <t>2.2.6.2.01</t>
  </si>
  <si>
    <t>2.2.6.3.01</t>
  </si>
  <si>
    <t>2.2.7.1.01</t>
  </si>
  <si>
    <t>2.2.7.1.02</t>
  </si>
  <si>
    <t>2.2.7.1.03</t>
  </si>
  <si>
    <t>2.2.7.2.02</t>
  </si>
  <si>
    <t>2.2.7.2.04</t>
  </si>
  <si>
    <t>2.2.7.2.05</t>
  </si>
  <si>
    <t>2.2.7.2.06</t>
  </si>
  <si>
    <t>2.2.8.1.01</t>
  </si>
  <si>
    <t>2.2.8.2.01</t>
  </si>
  <si>
    <t>2.2.8.4.01</t>
  </si>
  <si>
    <t>2.2.8.5.01</t>
  </si>
  <si>
    <t>2.2.8.5.02</t>
  </si>
  <si>
    <t>2.2.8.5.03</t>
  </si>
  <si>
    <t>2.2.8.6.02</t>
  </si>
  <si>
    <t>2.2.8.6.04</t>
  </si>
  <si>
    <t>2.2.8.7.05</t>
  </si>
  <si>
    <t>2.2.8.7.06</t>
  </si>
  <si>
    <t>CONCEPTO</t>
  </si>
  <si>
    <t>2.3.1.1.01</t>
  </si>
  <si>
    <t>2.3.1.3.03</t>
  </si>
  <si>
    <t>2.3.1.4.01</t>
  </si>
  <si>
    <t>2.3.2.2.01</t>
  </si>
  <si>
    <t>2.3.2.3.01</t>
  </si>
  <si>
    <t>2.3.2.4.01</t>
  </si>
  <si>
    <t>2.3.3.1.01</t>
  </si>
  <si>
    <t>2.3.3.2.01</t>
  </si>
  <si>
    <t>2.3.3.3.01</t>
  </si>
  <si>
    <t>2.3.3.4.01</t>
  </si>
  <si>
    <t>2.3.4.1.01</t>
  </si>
  <si>
    <t>2.3.5.2.01</t>
  </si>
  <si>
    <t>2.3.5.3.01</t>
  </si>
  <si>
    <t>2.3.5.4.01</t>
  </si>
  <si>
    <t>2.3.5.5.01</t>
  </si>
  <si>
    <t>2.3.6.3.03</t>
  </si>
  <si>
    <t>2.3.6.3.06</t>
  </si>
  <si>
    <t>2.3.6.4.04</t>
  </si>
  <si>
    <t>2.3.7.1.02</t>
  </si>
  <si>
    <t>2.3.7.1.04</t>
  </si>
  <si>
    <t>2.3.7.1.05</t>
  </si>
  <si>
    <t>2.3.7.2.05</t>
  </si>
  <si>
    <t>2.3.9.1.01</t>
  </si>
  <si>
    <t>2.3.9.2.01</t>
  </si>
  <si>
    <t>2.3.9.4.01</t>
  </si>
  <si>
    <t>2.3.9.5.01</t>
  </si>
  <si>
    <t>2.3.9.6.01</t>
  </si>
  <si>
    <t>2.3.9.9.01</t>
  </si>
  <si>
    <t>2.6.1.1.01</t>
  </si>
  <si>
    <t>2.6.1.3.01</t>
  </si>
  <si>
    <t>2.6.1.9.01</t>
  </si>
  <si>
    <t>2.6.3.1.01</t>
  </si>
  <si>
    <t>2.6.3.2.01</t>
  </si>
  <si>
    <t>2.6.5.2.01</t>
  </si>
  <si>
    <t>2.6.5.4.01</t>
  </si>
  <si>
    <t>2.6.5.5.01</t>
  </si>
  <si>
    <t>2.6.5.6.01</t>
  </si>
  <si>
    <t>2.6.5.7.01</t>
  </si>
  <si>
    <t>2.6.8.3.01</t>
  </si>
  <si>
    <t>2.6.8.8.01</t>
  </si>
  <si>
    <t>2.7.1.2.01</t>
  </si>
  <si>
    <t>2.2.8.3.01</t>
  </si>
  <si>
    <t>2.4.1.2.01</t>
  </si>
  <si>
    <t>2.4.1.2.02</t>
  </si>
  <si>
    <t>2.4.1.4.01</t>
  </si>
  <si>
    <t>2.4.1.4.02</t>
  </si>
  <si>
    <t>2.4.1.6.01</t>
  </si>
  <si>
    <t>2.4.3.2.01</t>
  </si>
  <si>
    <t>2.4.7.2.01</t>
  </si>
  <si>
    <t>2.5.2.1.02</t>
  </si>
  <si>
    <t>4.2.2.1.02</t>
  </si>
  <si>
    <t>Sueldos Fijos</t>
  </si>
  <si>
    <t>Sueldos de Personal nominal</t>
  </si>
  <si>
    <t xml:space="preserve">Sueldo al Personal fijo en Tramite de Pensiones </t>
  </si>
  <si>
    <t>Proporción de vacaciones no disfrutadas</t>
  </si>
  <si>
    <t>Compensación por Horas Extraordinarias</t>
  </si>
  <si>
    <t>Compensación Servicios de Seguridad</t>
  </si>
  <si>
    <t>Compensación por Resultados</t>
  </si>
  <si>
    <t>Bonificaciones</t>
  </si>
  <si>
    <t>Gratificaciones por aniversario de Institución</t>
  </si>
  <si>
    <t>Contribuciones al seguro de Salud</t>
  </si>
  <si>
    <t>Contribuciones al seguro de Pensiones</t>
  </si>
  <si>
    <t>Contribuciones al seguro de Riesgo Laboral</t>
  </si>
  <si>
    <t>Servicios Telefónicos de larga distancia</t>
  </si>
  <si>
    <t>Telefóno local</t>
  </si>
  <si>
    <t>Telefax y correos</t>
  </si>
  <si>
    <t>Servicio de Internet y Televisión por cable</t>
  </si>
  <si>
    <t>Energia electrica</t>
  </si>
  <si>
    <t>Agua</t>
  </si>
  <si>
    <t>Recolección de residuos sólidos</t>
  </si>
  <si>
    <t>Publicidad y propaganda</t>
  </si>
  <si>
    <t>Impresión y Encuadernación</t>
  </si>
  <si>
    <t>Viaticos dentro del Pais</t>
  </si>
  <si>
    <t>Viaticos fuera del Pais</t>
  </si>
  <si>
    <t>Pasajes</t>
  </si>
  <si>
    <t>Fletes</t>
  </si>
  <si>
    <t>Peaje</t>
  </si>
  <si>
    <t>Alquileres y rentas de edificios y locales</t>
  </si>
  <si>
    <t>Alquileres de equipos de transporte,tracción y elevación</t>
  </si>
  <si>
    <t>Otros Alquileres</t>
  </si>
  <si>
    <t>Seguro de bienes inmuebles e insfraestructura</t>
  </si>
  <si>
    <t xml:space="preserve">Seguro de bienes muebles </t>
  </si>
  <si>
    <t>Seguro de Personas</t>
  </si>
  <si>
    <t>Obras menores en edificaciones</t>
  </si>
  <si>
    <t>Servicios especiales de mantenimiento y reparación</t>
  </si>
  <si>
    <t>Limpieza,desmalezamiento de tierras y terrenos</t>
  </si>
  <si>
    <t>Mantenimiento y reparación de equipo para computación</t>
  </si>
  <si>
    <t>Mantenimiento y reparación de equipo de comunicación</t>
  </si>
  <si>
    <t>Mantenimiento y reparación de equipos sanitarios y de laboratorio</t>
  </si>
  <si>
    <t>Mantenimiento y reparación de equipos de transporte,tracción y elevación</t>
  </si>
  <si>
    <t>Gastos judiciales</t>
  </si>
  <si>
    <t>Comisiones y Gastos Bancarios</t>
  </si>
  <si>
    <t>Servicios funerarios y  gastos conexos</t>
  </si>
  <si>
    <t>Fumigación</t>
  </si>
  <si>
    <t>Lavandería</t>
  </si>
  <si>
    <t>Limpieza e Higiene</t>
  </si>
  <si>
    <t>Festividades</t>
  </si>
  <si>
    <t>Actuaciones artisticas</t>
  </si>
  <si>
    <t>Servicios de informática y sistemas computarizados</t>
  </si>
  <si>
    <t>Otros servicios tecnicos profesionales</t>
  </si>
  <si>
    <t>Servicios sanitarios medicos y veterinarios</t>
  </si>
  <si>
    <t>Alimentos y Bebidas para Personas</t>
  </si>
  <si>
    <t>Productos forestales</t>
  </si>
  <si>
    <t>Madera, corcho y sus manufacturas</t>
  </si>
  <si>
    <t>Acabados textiles</t>
  </si>
  <si>
    <t>Prendas de vestir</t>
  </si>
  <si>
    <t>Calzados</t>
  </si>
  <si>
    <t>Papel de escritorio</t>
  </si>
  <si>
    <t>Productos de papel y cartón</t>
  </si>
  <si>
    <t>Productos de artes gráficas</t>
  </si>
  <si>
    <t>Libros,revistas y periódicos</t>
  </si>
  <si>
    <t>Articulos de cuero</t>
  </si>
  <si>
    <t>Llantas y neumáticos</t>
  </si>
  <si>
    <t>Artículos de caucho</t>
  </si>
  <si>
    <t>Artículos de plástico</t>
  </si>
  <si>
    <t>Productos de cemento</t>
  </si>
  <si>
    <t>Productos de vidrio</t>
  </si>
  <si>
    <t>Productos ferrosos</t>
  </si>
  <si>
    <t>Estructuras metálicas acabadas</t>
  </si>
  <si>
    <t>Accesorios de metal</t>
  </si>
  <si>
    <t>Piedra,arcilla y arena</t>
  </si>
  <si>
    <t>Gasoil</t>
  </si>
  <si>
    <t>Gas GLP</t>
  </si>
  <si>
    <t>Aceites y Grasas</t>
  </si>
  <si>
    <t>Material para limpieza</t>
  </si>
  <si>
    <t>Utiles de escritorio,oficina informática y de enseñanza</t>
  </si>
  <si>
    <t>Utiles destinados a activades deportivas y recreativas</t>
  </si>
  <si>
    <t>Utiles de cocina y comedor</t>
  </si>
  <si>
    <t>Productos electricos y afines</t>
  </si>
  <si>
    <t>Muebles de oficina y estantería</t>
  </si>
  <si>
    <t>Equipo computacional</t>
  </si>
  <si>
    <t>Equipo medico y de laboratorio</t>
  </si>
  <si>
    <t>Instrumental medico y de laboratorio</t>
  </si>
  <si>
    <t>Maquinaria y equipo industrial</t>
  </si>
  <si>
    <t>Sistemas de aire acond.,calef.y refrig.ind.y com.</t>
  </si>
  <si>
    <t>Equipo de telecomunicaciones y señalamiento</t>
  </si>
  <si>
    <t>Equipo de generación electrica, aparatos y accesorios electricos</t>
  </si>
  <si>
    <t>Herramientas y máquinas-herramientas</t>
  </si>
  <si>
    <t>Programas de informática</t>
  </si>
  <si>
    <t>Informáticas</t>
  </si>
  <si>
    <t>Obras para edificación no residencial</t>
  </si>
  <si>
    <t>Intereses de la deuda pública externa de largo plazo</t>
  </si>
  <si>
    <t>2.9.2.2.01</t>
  </si>
  <si>
    <t>Ayudas y donaciones programas a hogares y personas</t>
  </si>
  <si>
    <t>Ayudas y donaciones ocasiones a hogares y personas</t>
  </si>
  <si>
    <t>Becas nacionales</t>
  </si>
  <si>
    <t>Becas extranjeras</t>
  </si>
  <si>
    <t>Transferencias corrientes a asociaciones sin fines de lucro</t>
  </si>
  <si>
    <t>Transferencias corrientes a Instituciones Descentralizadas Municipales para servicios personales</t>
  </si>
  <si>
    <t>FONDO 9995</t>
  </si>
  <si>
    <t>2.6.2.1.01</t>
  </si>
  <si>
    <t>Disminución de ctas. por pagar externas de largo plazo</t>
  </si>
  <si>
    <t>2.3.7.2.04</t>
  </si>
  <si>
    <t>2.3.7.2.03</t>
  </si>
  <si>
    <t>2.3.7.2.06</t>
  </si>
  <si>
    <t>2.1.4.2.02</t>
  </si>
  <si>
    <t>Gratificaciones por Pasantías</t>
  </si>
  <si>
    <t>2.2.7.1.06</t>
  </si>
  <si>
    <t>Instalaciones Electricas</t>
  </si>
  <si>
    <t>2.6.1.4.01</t>
  </si>
  <si>
    <t>Electrodomesticos</t>
  </si>
  <si>
    <t>2.6.2.3.01</t>
  </si>
  <si>
    <t>2.2.7.2.01</t>
  </si>
  <si>
    <t>2.2.8.6.01</t>
  </si>
  <si>
    <t>2.2.8.7.02</t>
  </si>
  <si>
    <t>2.3.6.1.01</t>
  </si>
  <si>
    <t>2.3.6.2.01</t>
  </si>
  <si>
    <t>2.3.6.3.01</t>
  </si>
  <si>
    <t>2.3.7.1.01</t>
  </si>
  <si>
    <t>2.1.4.2.01</t>
  </si>
  <si>
    <t>Bono Escolar</t>
  </si>
  <si>
    <t>CUENTA PRESUPUESTARIA DEL GASTO</t>
  </si>
  <si>
    <t>Sueldo Anual No.13</t>
  </si>
  <si>
    <t>2.4.2.1.03</t>
  </si>
  <si>
    <t>Aportaciones corrientes al poder Judicial</t>
  </si>
  <si>
    <t>CAPITULO 5158-DIRECCION GENERAL DE ADUANAS</t>
  </si>
  <si>
    <t>FUENTE 10</t>
  </si>
  <si>
    <t>FUENTE 30</t>
  </si>
  <si>
    <t>Prestación laboral por desvinculación</t>
  </si>
  <si>
    <t>Mantenimiento y reparación de muebles y equipos de oficina</t>
  </si>
  <si>
    <t>Eventos Generales</t>
  </si>
  <si>
    <t>Servicios Juridicos</t>
  </si>
  <si>
    <t>Productos medicinales para uso humano</t>
  </si>
  <si>
    <t>Gasolina</t>
  </si>
  <si>
    <t>Productos quimicos de Uso Personal</t>
  </si>
  <si>
    <t>Abonos y fertilizantes</t>
  </si>
  <si>
    <t>Insecticidas,fumigantes y otros</t>
  </si>
  <si>
    <t>Pinturas,barnices,lacas,diluyentes y absorbentes para pintura</t>
  </si>
  <si>
    <t xml:space="preserve">Productos y utiles varios </t>
  </si>
  <si>
    <t>Otros mobiliarios y equipos no identificados precedentemente</t>
  </si>
  <si>
    <t>Equipos y aparatos audiovisuales</t>
  </si>
  <si>
    <t>Cámaras fotográficas y de video</t>
  </si>
  <si>
    <t>Transferencias corrientes a organismos internacionales</t>
  </si>
  <si>
    <t>Aportaciones de capital al poder ejecutivo</t>
  </si>
  <si>
    <t>SERVICIOS PERSONALES</t>
  </si>
  <si>
    <t>SERVICIOS NO PERSONALES</t>
  </si>
  <si>
    <t>MATERIALES Y SUMINISTROS</t>
  </si>
  <si>
    <t>ACTIVOS NO FINANCIEROS</t>
  </si>
  <si>
    <t>INTERESES DEUDA EXTERNA</t>
  </si>
  <si>
    <t>TRANSFERENCIAS CORRIENTES</t>
  </si>
  <si>
    <t>TRANSFERENCIAS DE CAPITAL</t>
  </si>
  <si>
    <t>APLICACIONES FINANCIERAS</t>
  </si>
  <si>
    <t>FUENTE 10 Y 30</t>
  </si>
  <si>
    <t>FONDO 0100 Y 9995</t>
  </si>
  <si>
    <t>2.2.5.3.04</t>
  </si>
  <si>
    <t>Alquiler de equipo de oficina y muebles</t>
  </si>
  <si>
    <t>2.2.6.7.01</t>
  </si>
  <si>
    <t>Seguros sobres Bienes Históricos y Culturales</t>
  </si>
  <si>
    <t>2.2.8.7.03</t>
  </si>
  <si>
    <t>Servicios de contabilidad y auditoría</t>
  </si>
  <si>
    <t>2.3.2.1.01</t>
  </si>
  <si>
    <t>Hilados y telas</t>
  </si>
  <si>
    <t>2.3.6.3.04</t>
  </si>
  <si>
    <t>Herramientas menores</t>
  </si>
  <si>
    <t>2.3.7.2.02</t>
  </si>
  <si>
    <t>Productos Fotoquimicos</t>
  </si>
  <si>
    <t>2.6.1.2.01</t>
  </si>
  <si>
    <t>Muebles de Alojamiento</t>
  </si>
  <si>
    <t>2.6.6.2.01</t>
  </si>
  <si>
    <t>Equipos de Seguridad</t>
  </si>
  <si>
    <t>2.4.4.1.02</t>
  </si>
  <si>
    <t>Otras transferencias corrientes a empresas públicas no financieras nacionales</t>
  </si>
  <si>
    <t>MODIFICACIONES PRESUPUESTARIAS</t>
  </si>
  <si>
    <t>PRESUPUESTO VIGENTE</t>
  </si>
  <si>
    <t>ENERO</t>
  </si>
  <si>
    <t>PRESUPUESTO INICIAL</t>
  </si>
  <si>
    <t>MONTO EJECUTADO</t>
  </si>
  <si>
    <t>APROPIACION DISPONIBLE</t>
  </si>
  <si>
    <t>2.1.1.6.01</t>
  </si>
  <si>
    <t>Vacaciones</t>
  </si>
  <si>
    <t>2.2.5.3.05</t>
  </si>
  <si>
    <t>Alquiler de equipos Sanitarios y de Laboratorios</t>
  </si>
  <si>
    <t>2.2.8.7.01</t>
  </si>
  <si>
    <t>Estudios de Ingenieria, Arquitectura,Investigaciones y Analisis de Factibilidad</t>
  </si>
  <si>
    <t>2.3.7.1.06</t>
  </si>
  <si>
    <t>Lubricantes</t>
  </si>
  <si>
    <t>2.3.6.1.04</t>
  </si>
  <si>
    <t>Productos de Yeso</t>
  </si>
  <si>
    <t>FEBRERO</t>
  </si>
  <si>
    <t>2.2.8.7.04</t>
  </si>
  <si>
    <t>Servicios de capacitación</t>
  </si>
  <si>
    <t>2.3.9.3.01</t>
  </si>
  <si>
    <t>Utiles menores medico-quirúrgicos</t>
  </si>
  <si>
    <t>MARZO</t>
  </si>
  <si>
    <t>2.2.8.8.01</t>
  </si>
  <si>
    <t>Impuestos</t>
  </si>
  <si>
    <t>ABRIL</t>
  </si>
  <si>
    <t>Almacenaje</t>
  </si>
  <si>
    <t>2.2.4.3.01</t>
  </si>
  <si>
    <t>2.2.5.3.02</t>
  </si>
  <si>
    <t>Alquiler de Equipo para Computación</t>
  </si>
  <si>
    <t>2.3.6.2.02</t>
  </si>
  <si>
    <t>2.3.6.2.03</t>
  </si>
  <si>
    <t>Productos de loza</t>
  </si>
  <si>
    <t>Productos de porcelana</t>
  </si>
  <si>
    <t>2.2.7.1.07</t>
  </si>
  <si>
    <t>Servicios de Pintura y Derivados con fines de Higiene y Embellecimiento</t>
  </si>
  <si>
    <t>2.4.1.5.01</t>
  </si>
  <si>
    <t>Transferencias corrientes a Empresas del Sector Privado</t>
  </si>
  <si>
    <t>2.4.5.2.01</t>
  </si>
  <si>
    <t>Transferencias corrientes a Instituciones Públicas Financieras Monetarias para Servicios Personales</t>
  </si>
  <si>
    <t>MAYO</t>
  </si>
  <si>
    <t>2.6.5.8.01</t>
  </si>
  <si>
    <t>Otros equipos</t>
  </si>
  <si>
    <t>JUNIO</t>
  </si>
  <si>
    <t>Insecticidas,Fumigantes y Otros</t>
  </si>
  <si>
    <t xml:space="preserve">Productos y Utiles Varios </t>
  </si>
  <si>
    <t>Abonos y Fertilizantes</t>
  </si>
  <si>
    <t>Utiles menores medicos-quirurgicos</t>
  </si>
  <si>
    <t>Productos medicinales</t>
  </si>
  <si>
    <t>2.2.8.8.03</t>
  </si>
  <si>
    <t>2.3.6.1.05</t>
  </si>
  <si>
    <t>JULIO</t>
  </si>
  <si>
    <t>AGOSTO</t>
  </si>
  <si>
    <t>SEPTIEMBRE</t>
  </si>
  <si>
    <t>OCTUBRE</t>
  </si>
  <si>
    <t>NOVIEMBRE</t>
  </si>
  <si>
    <t>DICIEMBRE</t>
  </si>
  <si>
    <t>Eventos generales</t>
  </si>
  <si>
    <t>2.6.4.1.01</t>
  </si>
  <si>
    <t>Automóviles y camiones</t>
  </si>
  <si>
    <t>2.6.4.2.01</t>
  </si>
  <si>
    <t>Carrocerías y Remolques</t>
  </si>
  <si>
    <t>Ayudas y donaciones programadas a hogares y personas</t>
  </si>
  <si>
    <t>Ayudas y donaciones ocasionales a hogares y personas</t>
  </si>
  <si>
    <t>2.2.7.1.05</t>
  </si>
  <si>
    <t>Obras en Bienes de dominio público</t>
  </si>
  <si>
    <t>2.3.6.1.03</t>
  </si>
  <si>
    <t>Productos de Asbesto</t>
  </si>
  <si>
    <t>2.2.7.2.03</t>
  </si>
  <si>
    <t>Mantenimiento y reparación de equipos educacionales</t>
  </si>
  <si>
    <t>2.3.1.3.01</t>
  </si>
  <si>
    <t>Productos Pecuarios</t>
  </si>
  <si>
    <t>2.1.2.2.04</t>
  </si>
  <si>
    <t>Prima de Transporte</t>
  </si>
  <si>
    <t>Productos de Arcilla y Derivados</t>
  </si>
  <si>
    <t>2.6.1.1.20</t>
  </si>
  <si>
    <t>Antiguedades, bienes artísticos y otros objetos de arte</t>
  </si>
  <si>
    <t>2.4.2.1.01</t>
  </si>
  <si>
    <t>Aportaciones Corrientes al Poder Legistativo</t>
  </si>
  <si>
    <t>2.4.3.1.01</t>
  </si>
  <si>
    <t>Transferencias corrientes a Gobiernos Centrales Municipales para servicios personales</t>
  </si>
  <si>
    <t>2.3.6.4.07</t>
  </si>
  <si>
    <t>Otros Minerales</t>
  </si>
  <si>
    <t>2.6.1.0.12</t>
  </si>
  <si>
    <t>Terrenos Urbanos con Mejoras</t>
  </si>
  <si>
    <t>TIERRAS Y TERRENOS</t>
  </si>
  <si>
    <t>EJECUCION PRESUPUESTARIA PERIODO 2017</t>
  </si>
  <si>
    <t>2.4.3.1.02</t>
  </si>
  <si>
    <t>Otras transferencias corrientes a Gobiernos Centrales Municipales</t>
  </si>
  <si>
    <t>2.6.4.8.01</t>
  </si>
  <si>
    <t>Otros Equipos de Transporte</t>
  </si>
  <si>
    <t>Tasas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</si>
</sst>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rgb="FF92D050"/>
        <bgColor indexed="64"/>
      </patternFill>
    </fill>
  </fills>
  <borders count="8">
    <border>
      <left/>
      <right/>
      <top/>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double">
        <color indexed="64"/>
      </bottom>
      <diagonal/>
    </border>
    <border>
      <left style="thin">
        <color indexed="64"/>
      </left>
      <right/>
      <top style="thin">
        <color indexed="64"/>
      </top>
      <bottom/>
      <diagonal/>
    </border>
  </borders>
  <cellStyleXfs count="2">
    <xf numFmtId="0" fontId="0" fillId="0" borderId="0"/>
    <xf numFmtId="43" fontId="1" fillId="0" borderId="0" applyFont="0" applyFill="0" applyBorder="0" applyAlignment="0" applyProtection="0"/>
  </cellStyleXfs>
  <cellXfs count="31">
    <xf numFmtId="0" fontId="0" fillId="0" borderId="0" xfId="0"/>
    <xf numFmtId="43" fontId="0" fillId="0" borderId="0" xfId="1" applyFont="1"/>
    <xf numFmtId="0" fontId="2" fillId="0" borderId="0" xfId="0" applyFont="1"/>
    <xf numFmtId="43" fontId="0" fillId="0" borderId="0" xfId="0" applyNumberFormat="1"/>
    <xf numFmtId="43" fontId="0" fillId="0" borderId="1" xfId="1" applyFont="1" applyBorder="1"/>
    <xf numFmtId="0" fontId="0" fillId="0" borderId="1" xfId="0" applyBorder="1"/>
    <xf numFmtId="0" fontId="2" fillId="0" borderId="0" xfId="0" applyFont="1" applyFill="1"/>
    <xf numFmtId="0" fontId="2" fillId="2" borderId="3" xfId="0" applyFont="1" applyFill="1" applyBorder="1"/>
    <xf numFmtId="0" fontId="2" fillId="2" borderId="0" xfId="0" applyFont="1" applyFill="1" applyBorder="1"/>
    <xf numFmtId="0" fontId="0" fillId="2" borderId="1" xfId="0" applyFill="1" applyBorder="1"/>
    <xf numFmtId="0" fontId="2" fillId="2" borderId="7" xfId="0" applyFont="1" applyFill="1" applyBorder="1"/>
    <xf numFmtId="0" fontId="2" fillId="2" borderId="5" xfId="0" applyFont="1" applyFill="1" applyBorder="1"/>
    <xf numFmtId="0" fontId="0" fillId="2" borderId="4" xfId="0" applyFill="1" applyBorder="1"/>
    <xf numFmtId="0" fontId="2" fillId="3" borderId="6" xfId="0" applyFont="1" applyFill="1" applyBorder="1"/>
    <xf numFmtId="43" fontId="2" fillId="3" borderId="6" xfId="1" applyFont="1" applyFill="1" applyBorder="1"/>
    <xf numFmtId="0" fontId="2" fillId="3" borderId="2" xfId="0" applyFont="1" applyFill="1" applyBorder="1"/>
    <xf numFmtId="43" fontId="2" fillId="3" borderId="2" xfId="1" applyFont="1" applyFill="1" applyBorder="1"/>
    <xf numFmtId="43" fontId="2" fillId="0" borderId="0" xfId="1" applyFont="1" applyFill="1"/>
    <xf numFmtId="0" fontId="2" fillId="2" borderId="3" xfId="0" applyFont="1" applyFill="1" applyBorder="1" applyAlignment="1">
      <alignment horizontal="center"/>
    </xf>
    <xf numFmtId="43" fontId="0" fillId="0" borderId="0" xfId="1" applyFont="1" applyFill="1"/>
    <xf numFmtId="43" fontId="0" fillId="0" borderId="1" xfId="1" applyFont="1" applyFill="1" applyBorder="1"/>
    <xf numFmtId="43" fontId="0" fillId="0" borderId="0" xfId="1" applyFont="1" applyFill="1" applyBorder="1"/>
    <xf numFmtId="43" fontId="2" fillId="0" borderId="0" xfId="0" applyNumberFormat="1" applyFont="1"/>
    <xf numFmtId="43" fontId="0" fillId="0" borderId="0" xfId="0" applyNumberFormat="1" applyFill="1"/>
    <xf numFmtId="0" fontId="0" fillId="0" borderId="0" xfId="0" applyFill="1"/>
    <xf numFmtId="43" fontId="0" fillId="0" borderId="1" xfId="0" applyNumberFormat="1" applyFill="1" applyBorder="1"/>
    <xf numFmtId="0" fontId="0" fillId="0" borderId="0" xfId="0" applyFill="1" applyBorder="1"/>
    <xf numFmtId="43" fontId="2" fillId="0" borderId="1" xfId="1" applyFont="1" applyFill="1" applyBorder="1"/>
    <xf numFmtId="43" fontId="1" fillId="0" borderId="1" xfId="1" applyFont="1" applyFill="1" applyBorder="1"/>
    <xf numFmtId="43" fontId="0" fillId="0" borderId="0" xfId="0" applyNumberFormat="1" applyFill="1" applyBorder="1"/>
    <xf numFmtId="0" fontId="0" fillId="0" borderId="1" xfId="0"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3962400</xdr:colOff>
      <xdr:row>0</xdr:row>
      <xdr:rowOff>0</xdr:rowOff>
    </xdr:from>
    <xdr:to>
      <xdr:col>3</xdr:col>
      <xdr:colOff>209550</xdr:colOff>
      <xdr:row>4</xdr:row>
      <xdr:rowOff>150850</xdr:rowOff>
    </xdr:to>
    <xdr:pic>
      <xdr:nvPicPr>
        <xdr:cNvPr id="3" name="2 Imagen" descr="aduanas">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1825" y="0"/>
          <a:ext cx="2428875" cy="91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2152650</xdr:colOff>
      <xdr:row>0</xdr:row>
      <xdr:rowOff>0</xdr:rowOff>
    </xdr:from>
    <xdr:to>
      <xdr:col>3</xdr:col>
      <xdr:colOff>200025</xdr:colOff>
      <xdr:row>4</xdr:row>
      <xdr:rowOff>150850</xdr:rowOff>
    </xdr:to>
    <xdr:pic>
      <xdr:nvPicPr>
        <xdr:cNvPr id="2" name="1 Imagen" descr="aduanas">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14925" y="0"/>
          <a:ext cx="2428875" cy="91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2152650</xdr:colOff>
      <xdr:row>0</xdr:row>
      <xdr:rowOff>0</xdr:rowOff>
    </xdr:from>
    <xdr:to>
      <xdr:col>3</xdr:col>
      <xdr:colOff>219075</xdr:colOff>
      <xdr:row>4</xdr:row>
      <xdr:rowOff>150850</xdr:rowOff>
    </xdr:to>
    <xdr:pic>
      <xdr:nvPicPr>
        <xdr:cNvPr id="2" name="1 Imagen" descr="aduanas">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14925" y="0"/>
          <a:ext cx="2428875" cy="91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90"/>
  <sheetViews>
    <sheetView tabSelected="1" workbookViewId="0">
      <selection activeCell="E85" sqref="E85:S90"/>
    </sheetView>
  </sheetViews>
  <sheetFormatPr baseColWidth="10" defaultColWidth="11.42578125" defaultRowHeight="15" x14ac:dyDescent="0.25"/>
  <cols>
    <col min="1" max="1" width="45.28515625" customWidth="1"/>
    <col min="2" max="2" width="66.42578125" customWidth="1"/>
    <col min="3" max="3" width="24.28515625" customWidth="1"/>
    <col min="4" max="4" width="34" bestFit="1" customWidth="1"/>
    <col min="5" max="5" width="21.85546875" customWidth="1"/>
    <col min="6" max="10" width="15.140625" customWidth="1"/>
    <col min="11" max="17" width="15.140625" hidden="1" customWidth="1"/>
    <col min="18" max="18" width="19" bestFit="1" customWidth="1"/>
    <col min="19" max="19" width="24" customWidth="1"/>
    <col min="20" max="22" width="15.140625" bestFit="1" customWidth="1"/>
    <col min="23" max="23" width="18.85546875" bestFit="1" customWidth="1"/>
    <col min="24" max="24" width="24.7109375" bestFit="1" customWidth="1"/>
    <col min="25" max="25" width="19.140625" bestFit="1" customWidth="1"/>
  </cols>
  <sheetData>
    <row r="2" spans="1:25" x14ac:dyDescent="0.25">
      <c r="A2" s="2" t="s">
        <v>361</v>
      </c>
      <c r="B2" s="2"/>
      <c r="C2" s="2"/>
      <c r="D2" s="2"/>
      <c r="E2" s="2"/>
      <c r="F2" s="2"/>
      <c r="G2" s="2"/>
      <c r="H2" s="2"/>
      <c r="I2" s="2"/>
      <c r="J2" s="2"/>
      <c r="K2" s="2"/>
      <c r="L2" s="2"/>
      <c r="M2" s="2"/>
      <c r="N2" s="2"/>
      <c r="O2" s="2"/>
      <c r="P2" s="2"/>
      <c r="Q2" s="2"/>
      <c r="R2" s="2"/>
      <c r="S2" s="2"/>
      <c r="T2" s="2"/>
      <c r="U2" s="2"/>
      <c r="V2" s="2"/>
      <c r="W2" s="2"/>
      <c r="X2" s="2"/>
      <c r="Y2" s="2"/>
    </row>
    <row r="3" spans="1:25" x14ac:dyDescent="0.25">
      <c r="A3" s="2" t="s">
        <v>229</v>
      </c>
      <c r="B3" s="2"/>
      <c r="C3" s="2"/>
      <c r="D3" s="2"/>
      <c r="E3" s="2"/>
      <c r="F3" s="2"/>
      <c r="G3" s="2"/>
      <c r="H3" s="2"/>
      <c r="I3" s="2"/>
      <c r="J3" s="2"/>
      <c r="K3" s="2"/>
      <c r="L3" s="2"/>
      <c r="M3" s="2"/>
      <c r="N3" s="2"/>
      <c r="O3" s="2"/>
      <c r="P3" s="2"/>
      <c r="Q3" s="2"/>
      <c r="R3" s="2"/>
      <c r="S3" s="2"/>
      <c r="T3" s="2"/>
      <c r="U3" s="2"/>
      <c r="V3" s="2"/>
      <c r="W3" s="2"/>
      <c r="X3" s="2"/>
      <c r="Y3" s="2"/>
    </row>
    <row r="4" spans="1:25" x14ac:dyDescent="0.25">
      <c r="A4" s="2" t="s">
        <v>15</v>
      </c>
      <c r="B4" s="2"/>
      <c r="C4" s="2"/>
      <c r="D4" s="2"/>
      <c r="E4" s="2"/>
      <c r="F4" s="2"/>
      <c r="G4" s="2"/>
      <c r="H4" s="2"/>
      <c r="I4" s="2"/>
      <c r="J4" s="2"/>
      <c r="K4" s="2"/>
      <c r="L4" s="2"/>
      <c r="M4" s="2"/>
      <c r="N4" s="2"/>
      <c r="O4" s="2"/>
      <c r="P4" s="2"/>
      <c r="Q4" s="2"/>
      <c r="R4" s="2"/>
      <c r="S4" s="2"/>
      <c r="T4" s="2"/>
      <c r="U4" s="2"/>
      <c r="V4" s="2"/>
      <c r="W4" s="2"/>
      <c r="X4" s="2"/>
      <c r="Y4" s="2"/>
    </row>
    <row r="5" spans="1:25" x14ac:dyDescent="0.25">
      <c r="A5" s="2" t="s">
        <v>230</v>
      </c>
      <c r="B5" s="2"/>
      <c r="C5" s="2"/>
      <c r="D5" s="2"/>
      <c r="E5" s="2"/>
      <c r="F5" s="2"/>
      <c r="G5" s="2"/>
      <c r="H5" s="2"/>
      <c r="I5" s="2"/>
      <c r="J5" s="2"/>
      <c r="K5" s="2"/>
      <c r="L5" s="2"/>
      <c r="M5" s="2"/>
      <c r="N5" s="2"/>
      <c r="O5" s="2"/>
      <c r="P5" s="2"/>
      <c r="Q5" s="2"/>
      <c r="R5" s="2"/>
      <c r="S5" s="2"/>
      <c r="T5" s="2"/>
      <c r="U5" s="2"/>
      <c r="V5" s="2"/>
      <c r="W5" s="2"/>
      <c r="X5" s="2"/>
      <c r="Y5" s="2"/>
    </row>
    <row r="6" spans="1:25" x14ac:dyDescent="0.25">
      <c r="A6" s="10" t="s">
        <v>225</v>
      </c>
      <c r="B6" s="7" t="s">
        <v>53</v>
      </c>
      <c r="C6" s="7" t="s">
        <v>279</v>
      </c>
      <c r="D6" s="7" t="s">
        <v>276</v>
      </c>
      <c r="E6" s="7" t="s">
        <v>277</v>
      </c>
      <c r="F6" s="18" t="s">
        <v>278</v>
      </c>
      <c r="G6" s="18" t="s">
        <v>292</v>
      </c>
      <c r="H6" s="18" t="s">
        <v>297</v>
      </c>
      <c r="I6" s="18" t="s">
        <v>300</v>
      </c>
      <c r="J6" s="18" t="s">
        <v>315</v>
      </c>
      <c r="K6" s="18" t="s">
        <v>318</v>
      </c>
      <c r="L6" s="18" t="s">
        <v>326</v>
      </c>
      <c r="M6" s="18" t="s">
        <v>327</v>
      </c>
      <c r="N6" s="18" t="s">
        <v>328</v>
      </c>
      <c r="O6" s="18" t="s">
        <v>329</v>
      </c>
      <c r="P6" s="18" t="s">
        <v>330</v>
      </c>
      <c r="Q6" s="18" t="s">
        <v>331</v>
      </c>
      <c r="R6" s="7" t="s">
        <v>280</v>
      </c>
      <c r="S6" s="7" t="s">
        <v>281</v>
      </c>
    </row>
    <row r="7" spans="1:25" x14ac:dyDescent="0.25">
      <c r="A7" s="11"/>
      <c r="B7" s="8"/>
      <c r="C7" s="8"/>
      <c r="D7" s="8"/>
      <c r="E7" s="8"/>
      <c r="F7" s="8"/>
      <c r="G7" s="8"/>
      <c r="H7" s="8"/>
      <c r="I7" s="8"/>
      <c r="J7" s="8"/>
      <c r="K7" s="8"/>
      <c r="L7" s="8"/>
      <c r="M7" s="8"/>
      <c r="N7" s="8"/>
      <c r="O7" s="8"/>
      <c r="P7" s="8"/>
      <c r="Q7" s="8"/>
      <c r="R7" s="8"/>
      <c r="S7" s="8"/>
    </row>
    <row r="8" spans="1:25" x14ac:dyDescent="0.25">
      <c r="A8" s="12"/>
      <c r="B8" s="9"/>
      <c r="C8" s="9"/>
      <c r="D8" s="9"/>
      <c r="E8" s="9"/>
      <c r="F8" s="9"/>
      <c r="G8" s="9"/>
      <c r="H8" s="9"/>
      <c r="I8" s="9"/>
      <c r="J8" s="9"/>
      <c r="K8" s="9"/>
      <c r="L8" s="9"/>
      <c r="M8" s="9"/>
      <c r="N8" s="9"/>
      <c r="O8" s="9"/>
      <c r="P8" s="9"/>
      <c r="Q8" s="9"/>
      <c r="R8" s="9"/>
      <c r="S8" s="9"/>
    </row>
    <row r="9" spans="1:25" x14ac:dyDescent="0.25">
      <c r="A9" s="24"/>
      <c r="B9" s="24"/>
      <c r="C9" s="24"/>
      <c r="D9" s="24"/>
      <c r="E9" s="24"/>
      <c r="F9" s="24"/>
      <c r="G9" s="24"/>
      <c r="H9" s="24"/>
      <c r="I9" s="24"/>
      <c r="J9" s="24"/>
      <c r="K9" s="24"/>
      <c r="L9" s="24"/>
      <c r="M9" s="24"/>
      <c r="N9" s="24"/>
      <c r="O9" s="24"/>
      <c r="P9" s="24"/>
      <c r="Q9" s="24"/>
      <c r="R9" s="24"/>
      <c r="S9" s="24"/>
      <c r="T9" s="24"/>
      <c r="U9" s="24"/>
      <c r="V9" s="24"/>
    </row>
    <row r="10" spans="1:25" x14ac:dyDescent="0.25">
      <c r="A10" s="24"/>
      <c r="B10" s="24"/>
      <c r="C10" s="24"/>
      <c r="D10" s="24"/>
      <c r="E10" s="24"/>
      <c r="F10" s="24"/>
      <c r="G10" s="24"/>
      <c r="H10" s="24"/>
      <c r="I10" s="24"/>
      <c r="J10" s="24"/>
      <c r="K10" s="24"/>
      <c r="L10" s="24"/>
      <c r="M10" s="24"/>
      <c r="N10" s="19"/>
      <c r="O10" s="19"/>
      <c r="P10" s="19"/>
      <c r="Q10" s="19"/>
      <c r="R10" s="24"/>
      <c r="S10" s="24"/>
      <c r="T10" s="24"/>
      <c r="U10" s="24"/>
      <c r="V10" s="24"/>
    </row>
    <row r="11" spans="1:25" x14ac:dyDescent="0.25">
      <c r="A11" s="24" t="s">
        <v>1</v>
      </c>
      <c r="B11" s="24" t="s">
        <v>105</v>
      </c>
      <c r="C11" s="19">
        <v>1561090644</v>
      </c>
      <c r="D11" s="19"/>
      <c r="E11" s="23">
        <f>+C11+D11</f>
        <v>1561090644</v>
      </c>
      <c r="F11" s="19">
        <v>108675012.95999999</v>
      </c>
      <c r="G11" s="19">
        <v>135989719.16999999</v>
      </c>
      <c r="H11" s="19">
        <v>170577190.66999999</v>
      </c>
      <c r="I11" s="19">
        <v>113660777.79000001</v>
      </c>
      <c r="J11" s="19">
        <v>187365562.72</v>
      </c>
      <c r="K11" s="19"/>
      <c r="L11" s="19"/>
      <c r="M11" s="19"/>
      <c r="N11" s="19"/>
      <c r="O11" s="19"/>
      <c r="P11" s="19"/>
      <c r="Q11" s="19"/>
      <c r="R11" s="23">
        <f t="shared" ref="R11:R21" si="0">SUM(F11:Q11)</f>
        <v>716268263.30999994</v>
      </c>
      <c r="S11" s="23">
        <f t="shared" ref="S11:S21" si="1">+E11-R11</f>
        <v>844822380.69000006</v>
      </c>
      <c r="T11" s="24"/>
      <c r="U11" s="24"/>
      <c r="V11" s="24"/>
    </row>
    <row r="12" spans="1:25" x14ac:dyDescent="0.25">
      <c r="A12" s="24" t="s">
        <v>3</v>
      </c>
      <c r="B12" s="24" t="s">
        <v>107</v>
      </c>
      <c r="C12" s="19">
        <v>110517130</v>
      </c>
      <c r="D12" s="19"/>
      <c r="E12" s="23">
        <f t="shared" ref="E12:E21" si="2">+C12+D12</f>
        <v>110517130</v>
      </c>
      <c r="F12" s="19">
        <v>8941261.2100000009</v>
      </c>
      <c r="G12" s="19">
        <v>9752905.3399999999</v>
      </c>
      <c r="H12" s="19">
        <v>10645564.34</v>
      </c>
      <c r="I12" s="19">
        <v>8236259.9199999999</v>
      </c>
      <c r="J12" s="19">
        <v>11185786.24</v>
      </c>
      <c r="K12" s="19"/>
      <c r="L12" s="19"/>
      <c r="M12" s="19"/>
      <c r="N12" s="19"/>
      <c r="O12" s="19"/>
      <c r="P12" s="19"/>
      <c r="Q12" s="19"/>
      <c r="R12" s="23">
        <f t="shared" si="0"/>
        <v>48761777.050000004</v>
      </c>
      <c r="S12" s="23">
        <f t="shared" si="1"/>
        <v>61755352.949999996</v>
      </c>
      <c r="T12" s="24"/>
      <c r="U12" s="24"/>
      <c r="V12" s="24"/>
    </row>
    <row r="13" spans="1:25" x14ac:dyDescent="0.25">
      <c r="A13" s="24" t="s">
        <v>4</v>
      </c>
      <c r="B13" s="24" t="s">
        <v>226</v>
      </c>
      <c r="C13" s="19">
        <v>114399816</v>
      </c>
      <c r="D13" s="19"/>
      <c r="E13" s="23">
        <f t="shared" si="2"/>
        <v>114399816</v>
      </c>
      <c r="F13" s="19">
        <v>46761.74</v>
      </c>
      <c r="G13" s="19">
        <v>21506</v>
      </c>
      <c r="H13" s="19"/>
      <c r="I13" s="19"/>
      <c r="J13" s="19">
        <v>2625</v>
      </c>
      <c r="K13" s="19"/>
      <c r="L13" s="19"/>
      <c r="M13" s="19"/>
      <c r="N13" s="19"/>
      <c r="O13" s="19"/>
      <c r="P13" s="19"/>
      <c r="Q13" s="19"/>
      <c r="R13" s="23">
        <f t="shared" si="0"/>
        <v>70892.739999999991</v>
      </c>
      <c r="S13" s="23">
        <f t="shared" si="1"/>
        <v>114328923.26000001</v>
      </c>
      <c r="T13" s="24"/>
      <c r="U13" s="24"/>
      <c r="V13" s="24"/>
    </row>
    <row r="14" spans="1:25" x14ac:dyDescent="0.25">
      <c r="A14" s="24" t="s">
        <v>282</v>
      </c>
      <c r="B14" s="24" t="s">
        <v>283</v>
      </c>
      <c r="C14" s="19">
        <v>3000000</v>
      </c>
      <c r="D14" s="19"/>
      <c r="E14" s="23">
        <f t="shared" si="2"/>
        <v>3000000</v>
      </c>
      <c r="F14" s="19"/>
      <c r="G14" s="19"/>
      <c r="H14" s="19"/>
      <c r="I14" s="19"/>
      <c r="J14" s="19"/>
      <c r="K14" s="19"/>
      <c r="L14" s="19"/>
      <c r="M14" s="19"/>
      <c r="N14" s="19"/>
      <c r="O14" s="19"/>
      <c r="P14" s="19"/>
      <c r="Q14" s="19"/>
      <c r="R14" s="23">
        <f t="shared" si="0"/>
        <v>0</v>
      </c>
      <c r="S14" s="23">
        <f t="shared" si="1"/>
        <v>3000000</v>
      </c>
      <c r="T14" s="24"/>
      <c r="U14" s="24"/>
      <c r="V14" s="24"/>
    </row>
    <row r="15" spans="1:25" x14ac:dyDescent="0.25">
      <c r="A15" s="24" t="s">
        <v>8</v>
      </c>
      <c r="B15" s="24" t="s">
        <v>110</v>
      </c>
      <c r="C15" s="19">
        <v>0</v>
      </c>
      <c r="D15" s="19">
        <f>3293060.72+3329806.36+3359707.42+3507240.82+3513356.25</f>
        <v>17003171.57</v>
      </c>
      <c r="E15" s="23">
        <f t="shared" si="2"/>
        <v>17003171.57</v>
      </c>
      <c r="F15" s="19">
        <v>3293060.72</v>
      </c>
      <c r="G15" s="19">
        <v>3329806.36</v>
      </c>
      <c r="H15" s="19">
        <v>3359707.42</v>
      </c>
      <c r="I15" s="19">
        <v>3507240.82</v>
      </c>
      <c r="J15" s="19">
        <v>3513356.25</v>
      </c>
      <c r="K15" s="19"/>
      <c r="L15" s="19"/>
      <c r="M15" s="19"/>
      <c r="N15" s="19"/>
      <c r="O15" s="19"/>
      <c r="P15" s="19"/>
      <c r="Q15" s="19"/>
      <c r="R15" s="23">
        <f t="shared" si="0"/>
        <v>17003171.57</v>
      </c>
      <c r="S15" s="23">
        <f t="shared" si="1"/>
        <v>0</v>
      </c>
      <c r="T15" s="24"/>
      <c r="U15" s="24"/>
      <c r="V15" s="24"/>
    </row>
    <row r="16" spans="1:25" x14ac:dyDescent="0.25">
      <c r="A16" s="24" t="s">
        <v>9</v>
      </c>
      <c r="B16" s="24" t="s">
        <v>111</v>
      </c>
      <c r="C16" s="19">
        <v>0</v>
      </c>
      <c r="D16" s="19">
        <f>89923.51+21506+21000</f>
        <v>132429.51</v>
      </c>
      <c r="E16" s="23">
        <f t="shared" si="2"/>
        <v>132429.51</v>
      </c>
      <c r="F16" s="19">
        <v>89923.51</v>
      </c>
      <c r="G16" s="19">
        <v>21506</v>
      </c>
      <c r="H16" s="19"/>
      <c r="I16" s="19"/>
      <c r="J16" s="19">
        <v>21000</v>
      </c>
      <c r="K16" s="19"/>
      <c r="L16" s="19"/>
      <c r="M16" s="19"/>
      <c r="N16" s="19"/>
      <c r="O16" s="19"/>
      <c r="P16" s="19"/>
      <c r="Q16" s="19"/>
      <c r="R16" s="23">
        <f t="shared" si="0"/>
        <v>132429.51</v>
      </c>
      <c r="S16" s="23">
        <f t="shared" si="1"/>
        <v>0</v>
      </c>
      <c r="T16" s="24"/>
      <c r="U16" s="24"/>
      <c r="V16" s="24"/>
    </row>
    <row r="17" spans="1:22" x14ac:dyDescent="0.25">
      <c r="A17" s="24" t="s">
        <v>10</v>
      </c>
      <c r="B17" s="24" t="s">
        <v>112</v>
      </c>
      <c r="C17" s="19">
        <v>0</v>
      </c>
      <c r="D17" s="19">
        <v>21506</v>
      </c>
      <c r="E17" s="23">
        <f t="shared" si="2"/>
        <v>21506</v>
      </c>
      <c r="F17" s="19"/>
      <c r="G17" s="19">
        <v>21506</v>
      </c>
      <c r="H17" s="19"/>
      <c r="I17" s="19"/>
      <c r="J17" s="19"/>
      <c r="K17" s="19"/>
      <c r="L17" s="19"/>
      <c r="M17" s="19"/>
      <c r="N17" s="19"/>
      <c r="O17" s="19"/>
      <c r="P17" s="19"/>
      <c r="Q17" s="19"/>
      <c r="R17" s="23">
        <f t="shared" si="0"/>
        <v>21506</v>
      </c>
      <c r="S17" s="23">
        <f t="shared" si="1"/>
        <v>0</v>
      </c>
      <c r="T17" s="24"/>
      <c r="U17" s="24"/>
      <c r="V17" s="24"/>
    </row>
    <row r="18" spans="1:22" x14ac:dyDescent="0.25">
      <c r="A18" s="26" t="s">
        <v>11</v>
      </c>
      <c r="B18" s="26" t="s">
        <v>113</v>
      </c>
      <c r="C18" s="19">
        <v>24900831</v>
      </c>
      <c r="D18" s="19">
        <f>-3293060.72-89923.51-3329806.36-21506-21506-90270-3359707.42-88500-3507240.82-83190-21000-3513356.25</f>
        <v>-17419067.079999998</v>
      </c>
      <c r="E18" s="23">
        <f t="shared" si="2"/>
        <v>7481763.9200000018</v>
      </c>
      <c r="F18" s="19"/>
      <c r="G18" s="19"/>
      <c r="H18" s="19"/>
      <c r="I18" s="19"/>
      <c r="J18" s="19"/>
      <c r="K18" s="19"/>
      <c r="L18" s="19"/>
      <c r="M18" s="19"/>
      <c r="N18" s="19"/>
      <c r="O18" s="19"/>
      <c r="P18" s="19"/>
      <c r="Q18" s="19"/>
      <c r="R18" s="23">
        <f t="shared" si="0"/>
        <v>0</v>
      </c>
      <c r="S18" s="23">
        <f t="shared" si="1"/>
        <v>7481763.9200000018</v>
      </c>
      <c r="T18" s="24"/>
      <c r="U18" s="24"/>
      <c r="V18" s="24"/>
    </row>
    <row r="19" spans="1:22" x14ac:dyDescent="0.25">
      <c r="A19" s="24" t="s">
        <v>12</v>
      </c>
      <c r="B19" s="24" t="s">
        <v>114</v>
      </c>
      <c r="C19" s="19">
        <v>112784559</v>
      </c>
      <c r="D19" s="19"/>
      <c r="E19" s="23">
        <f t="shared" si="2"/>
        <v>112784559</v>
      </c>
      <c r="F19" s="19">
        <v>9717766.3599999994</v>
      </c>
      <c r="G19" s="19">
        <v>8110315.5899999999</v>
      </c>
      <c r="H19" s="19">
        <v>10394258.539999999</v>
      </c>
      <c r="I19" s="19"/>
      <c r="J19" s="19">
        <v>21746772.59</v>
      </c>
      <c r="K19" s="19"/>
      <c r="L19" s="19"/>
      <c r="M19" s="19"/>
      <c r="N19" s="19"/>
      <c r="O19" s="19"/>
      <c r="P19" s="19"/>
      <c r="Q19" s="19"/>
      <c r="R19" s="23">
        <f t="shared" si="0"/>
        <v>49969113.079999998</v>
      </c>
      <c r="S19" s="23">
        <f t="shared" si="1"/>
        <v>62815445.920000002</v>
      </c>
      <c r="T19" s="24"/>
      <c r="U19" s="24"/>
      <c r="V19" s="24"/>
    </row>
    <row r="20" spans="1:22" x14ac:dyDescent="0.25">
      <c r="A20" s="24" t="s">
        <v>13</v>
      </c>
      <c r="B20" s="24" t="s">
        <v>115</v>
      </c>
      <c r="C20" s="19">
        <v>115859610</v>
      </c>
      <c r="D20" s="19"/>
      <c r="E20" s="23">
        <f t="shared" si="2"/>
        <v>115859610</v>
      </c>
      <c r="F20" s="19">
        <v>8021900.3799999999</v>
      </c>
      <c r="G20" s="19">
        <v>10307494.15</v>
      </c>
      <c r="H20" s="19">
        <v>8751646.7599999998</v>
      </c>
      <c r="I20" s="19"/>
      <c r="J20" s="19">
        <v>21940656.25</v>
      </c>
      <c r="K20" s="19"/>
      <c r="L20" s="19"/>
      <c r="M20" s="19"/>
      <c r="N20" s="19"/>
      <c r="O20" s="19"/>
      <c r="P20" s="19"/>
      <c r="Q20" s="19"/>
      <c r="R20" s="23">
        <f t="shared" si="0"/>
        <v>49021697.539999999</v>
      </c>
      <c r="S20" s="23">
        <f t="shared" si="1"/>
        <v>66837912.460000001</v>
      </c>
      <c r="T20" s="24"/>
      <c r="U20" s="24"/>
      <c r="V20" s="24"/>
    </row>
    <row r="21" spans="1:22" x14ac:dyDescent="0.25">
      <c r="A21" s="30" t="s">
        <v>14</v>
      </c>
      <c r="B21" s="30" t="s">
        <v>116</v>
      </c>
      <c r="C21" s="20">
        <v>15393672</v>
      </c>
      <c r="D21" s="20"/>
      <c r="E21" s="25">
        <f t="shared" si="2"/>
        <v>15393672</v>
      </c>
      <c r="F21" s="20">
        <v>1328740.06</v>
      </c>
      <c r="G21" s="20">
        <v>1347444.2</v>
      </c>
      <c r="H21" s="20">
        <v>1393239.35</v>
      </c>
      <c r="I21" s="20"/>
      <c r="J21" s="20">
        <v>2177559.11</v>
      </c>
      <c r="K21" s="20"/>
      <c r="L21" s="20"/>
      <c r="M21" s="20"/>
      <c r="N21" s="20"/>
      <c r="O21" s="20"/>
      <c r="P21" s="20"/>
      <c r="Q21" s="20"/>
      <c r="R21" s="25">
        <f t="shared" si="0"/>
        <v>6246982.7199999997</v>
      </c>
      <c r="S21" s="25">
        <f t="shared" si="1"/>
        <v>9146689.2800000012</v>
      </c>
      <c r="T21" s="24"/>
      <c r="U21" s="24"/>
      <c r="V21" s="24"/>
    </row>
    <row r="22" spans="1:22" x14ac:dyDescent="0.25">
      <c r="A22" s="6" t="s">
        <v>248</v>
      </c>
      <c r="B22" s="6"/>
      <c r="C22" s="17">
        <f t="shared" ref="C22:Q22" si="3">SUM(C11:C21)</f>
        <v>2057946262</v>
      </c>
      <c r="D22" s="17">
        <f t="shared" si="3"/>
        <v>-261959.99999999627</v>
      </c>
      <c r="E22" s="17">
        <f t="shared" si="3"/>
        <v>2057684302</v>
      </c>
      <c r="F22" s="17">
        <f t="shared" si="3"/>
        <v>140114426.94</v>
      </c>
      <c r="G22" s="17">
        <f t="shared" si="3"/>
        <v>168902202.81</v>
      </c>
      <c r="H22" s="17">
        <f t="shared" si="3"/>
        <v>205121607.07999995</v>
      </c>
      <c r="I22" s="17">
        <f t="shared" si="3"/>
        <v>125404278.53</v>
      </c>
      <c r="J22" s="17">
        <f t="shared" ref="J22" si="4">SUM(J11:J21)</f>
        <v>247953318.16000003</v>
      </c>
      <c r="K22" s="17">
        <f t="shared" si="3"/>
        <v>0</v>
      </c>
      <c r="L22" s="17">
        <f t="shared" si="3"/>
        <v>0</v>
      </c>
      <c r="M22" s="17">
        <f t="shared" si="3"/>
        <v>0</v>
      </c>
      <c r="N22" s="17">
        <f t="shared" si="3"/>
        <v>0</v>
      </c>
      <c r="O22" s="17">
        <f t="shared" si="3"/>
        <v>0</v>
      </c>
      <c r="P22" s="17">
        <f t="shared" si="3"/>
        <v>0</v>
      </c>
      <c r="Q22" s="17">
        <f t="shared" si="3"/>
        <v>0</v>
      </c>
      <c r="R22" s="17">
        <f>SUM(R11:R21)</f>
        <v>887495833.51999998</v>
      </c>
      <c r="S22" s="17">
        <f>SUM(S11:S21)</f>
        <v>1170188468.48</v>
      </c>
      <c r="T22" s="24"/>
      <c r="U22" s="24"/>
      <c r="V22" s="24"/>
    </row>
    <row r="23" spans="1:22" x14ac:dyDescent="0.25">
      <c r="A23" s="24"/>
      <c r="B23" s="24"/>
      <c r="C23" s="19"/>
      <c r="D23" s="24"/>
      <c r="E23" s="24"/>
      <c r="F23" s="19"/>
      <c r="G23" s="19"/>
      <c r="H23" s="19"/>
      <c r="I23" s="19"/>
      <c r="J23" s="19"/>
      <c r="K23" s="19"/>
      <c r="L23" s="19"/>
      <c r="M23" s="19"/>
      <c r="N23" s="19"/>
      <c r="O23" s="19"/>
      <c r="P23" s="19"/>
      <c r="Q23" s="19"/>
      <c r="R23" s="24"/>
      <c r="S23" s="24"/>
      <c r="T23" s="24"/>
      <c r="U23" s="24"/>
      <c r="V23" s="24"/>
    </row>
    <row r="24" spans="1:22" x14ac:dyDescent="0.25">
      <c r="A24" s="24" t="s">
        <v>18</v>
      </c>
      <c r="B24" s="24" t="s">
        <v>119</v>
      </c>
      <c r="C24" s="19">
        <v>0</v>
      </c>
      <c r="D24" s="19"/>
      <c r="E24" s="19">
        <f t="shared" ref="E24:E36" si="5">+C24+D24</f>
        <v>0</v>
      </c>
      <c r="F24" s="19"/>
      <c r="G24" s="19"/>
      <c r="H24" s="19"/>
      <c r="I24" s="19"/>
      <c r="J24" s="19"/>
      <c r="K24" s="19"/>
      <c r="L24" s="19"/>
      <c r="M24" s="19"/>
      <c r="N24" s="19"/>
      <c r="O24" s="19"/>
      <c r="P24" s="19"/>
      <c r="Q24" s="19"/>
      <c r="R24" s="21">
        <f t="shared" ref="R24:R44" si="6">SUM(F24:Q24)</f>
        <v>0</v>
      </c>
      <c r="S24" s="19">
        <f t="shared" ref="S24:S44" si="7">+E24-R24</f>
        <v>0</v>
      </c>
      <c r="T24" s="24"/>
      <c r="U24" s="24"/>
      <c r="V24" s="24"/>
    </row>
    <row r="25" spans="1:22" x14ac:dyDescent="0.25">
      <c r="A25" s="24" t="s">
        <v>22</v>
      </c>
      <c r="B25" s="24" t="s">
        <v>123</v>
      </c>
      <c r="C25" s="19">
        <v>0</v>
      </c>
      <c r="D25" s="19"/>
      <c r="E25" s="19">
        <f t="shared" si="5"/>
        <v>0</v>
      </c>
      <c r="F25" s="19"/>
      <c r="G25" s="19"/>
      <c r="H25" s="19"/>
      <c r="I25" s="19"/>
      <c r="J25" s="19"/>
      <c r="K25" s="19"/>
      <c r="L25" s="19"/>
      <c r="M25" s="19"/>
      <c r="N25" s="19"/>
      <c r="O25" s="19"/>
      <c r="P25" s="19"/>
      <c r="Q25" s="19"/>
      <c r="R25" s="21">
        <f t="shared" si="6"/>
        <v>0</v>
      </c>
      <c r="S25" s="19">
        <f t="shared" si="7"/>
        <v>0</v>
      </c>
      <c r="T25" s="24"/>
      <c r="U25" s="24"/>
      <c r="V25" s="24"/>
    </row>
    <row r="26" spans="1:22" x14ac:dyDescent="0.25">
      <c r="A26" s="24" t="s">
        <v>24</v>
      </c>
      <c r="B26" s="24" t="s">
        <v>125</v>
      </c>
      <c r="C26" s="19">
        <v>0</v>
      </c>
      <c r="D26" s="19"/>
      <c r="E26" s="19">
        <f t="shared" si="5"/>
        <v>0</v>
      </c>
      <c r="F26" s="19"/>
      <c r="G26" s="19"/>
      <c r="H26" s="19"/>
      <c r="I26" s="19"/>
      <c r="J26" s="19"/>
      <c r="K26" s="19"/>
      <c r="L26" s="19"/>
      <c r="M26" s="19"/>
      <c r="N26" s="19"/>
      <c r="O26" s="19"/>
      <c r="P26" s="19"/>
      <c r="Q26" s="19"/>
      <c r="R26" s="21">
        <f t="shared" si="6"/>
        <v>0</v>
      </c>
      <c r="S26" s="19">
        <f t="shared" si="7"/>
        <v>0</v>
      </c>
      <c r="T26" s="24"/>
      <c r="U26" s="24"/>
      <c r="V26" s="24"/>
    </row>
    <row r="27" spans="1:22" x14ac:dyDescent="0.25">
      <c r="A27" s="24" t="s">
        <v>25</v>
      </c>
      <c r="B27" s="24" t="s">
        <v>126</v>
      </c>
      <c r="C27" s="19">
        <v>0</v>
      </c>
      <c r="D27" s="19"/>
      <c r="E27" s="19">
        <f t="shared" si="5"/>
        <v>0</v>
      </c>
      <c r="F27" s="19"/>
      <c r="G27" s="19"/>
      <c r="H27" s="19"/>
      <c r="I27" s="19"/>
      <c r="J27" s="19"/>
      <c r="K27" s="19"/>
      <c r="L27" s="19"/>
      <c r="M27" s="19"/>
      <c r="N27" s="19"/>
      <c r="O27" s="19"/>
      <c r="P27" s="19"/>
      <c r="Q27" s="19"/>
      <c r="R27" s="21">
        <f t="shared" si="6"/>
        <v>0</v>
      </c>
      <c r="S27" s="19">
        <f t="shared" si="7"/>
        <v>0</v>
      </c>
      <c r="T27" s="24"/>
      <c r="U27" s="24"/>
      <c r="V27" s="24"/>
    </row>
    <row r="28" spans="1:22" x14ac:dyDescent="0.25">
      <c r="A28" s="24" t="s">
        <v>27</v>
      </c>
      <c r="B28" s="24" t="s">
        <v>128</v>
      </c>
      <c r="C28" s="19">
        <v>0</v>
      </c>
      <c r="D28" s="19"/>
      <c r="E28" s="19">
        <f t="shared" si="5"/>
        <v>0</v>
      </c>
      <c r="F28" s="19"/>
      <c r="G28" s="19"/>
      <c r="H28" s="19"/>
      <c r="I28" s="19"/>
      <c r="J28" s="19"/>
      <c r="K28" s="19"/>
      <c r="L28" s="19"/>
      <c r="M28" s="19"/>
      <c r="N28" s="19"/>
      <c r="O28" s="19"/>
      <c r="P28" s="19"/>
      <c r="Q28" s="19"/>
      <c r="R28" s="21">
        <f t="shared" si="6"/>
        <v>0</v>
      </c>
      <c r="S28" s="19">
        <f t="shared" si="7"/>
        <v>0</v>
      </c>
      <c r="T28" s="24"/>
      <c r="U28" s="24"/>
      <c r="V28" s="24"/>
    </row>
    <row r="29" spans="1:22" x14ac:dyDescent="0.25">
      <c r="A29" s="24" t="s">
        <v>28</v>
      </c>
      <c r="B29" s="24" t="s">
        <v>129</v>
      </c>
      <c r="C29" s="19">
        <v>0</v>
      </c>
      <c r="D29" s="19">
        <f>88612.82+90270+88500+83190+95580</f>
        <v>446152.82</v>
      </c>
      <c r="E29" s="19">
        <f t="shared" si="5"/>
        <v>446152.82</v>
      </c>
      <c r="F29" s="19">
        <v>88612.82</v>
      </c>
      <c r="G29" s="19">
        <v>90270</v>
      </c>
      <c r="H29" s="19">
        <f>59000+29500</f>
        <v>88500</v>
      </c>
      <c r="I29" s="19">
        <v>83190</v>
      </c>
      <c r="J29" s="19">
        <v>95580</v>
      </c>
      <c r="K29" s="19"/>
      <c r="L29" s="19"/>
      <c r="M29" s="19"/>
      <c r="N29" s="19"/>
      <c r="O29" s="19"/>
      <c r="P29" s="19"/>
      <c r="Q29" s="19"/>
      <c r="R29" s="21">
        <f t="shared" si="6"/>
        <v>446152.82</v>
      </c>
      <c r="S29" s="19">
        <f t="shared" si="7"/>
        <v>0</v>
      </c>
      <c r="T29" s="24"/>
      <c r="U29" s="24"/>
      <c r="V29" s="24"/>
    </row>
    <row r="30" spans="1:22" x14ac:dyDescent="0.25">
      <c r="A30" s="24" t="s">
        <v>29</v>
      </c>
      <c r="B30" s="24" t="s">
        <v>130</v>
      </c>
      <c r="C30" s="19">
        <v>0</v>
      </c>
      <c r="D30" s="19"/>
      <c r="E30" s="19">
        <f t="shared" si="5"/>
        <v>0</v>
      </c>
      <c r="F30" s="19"/>
      <c r="G30" s="19"/>
      <c r="H30" s="19"/>
      <c r="I30" s="19"/>
      <c r="J30" s="19"/>
      <c r="K30" s="19"/>
      <c r="L30" s="19"/>
      <c r="M30" s="19"/>
      <c r="N30" s="19"/>
      <c r="O30" s="19"/>
      <c r="P30" s="19"/>
      <c r="Q30" s="19"/>
      <c r="R30" s="21">
        <f t="shared" si="6"/>
        <v>0</v>
      </c>
      <c r="S30" s="19">
        <f t="shared" si="7"/>
        <v>0</v>
      </c>
      <c r="T30" s="24"/>
      <c r="U30" s="24"/>
      <c r="V30" s="24"/>
    </row>
    <row r="31" spans="1:22" x14ac:dyDescent="0.25">
      <c r="A31" s="24" t="s">
        <v>32</v>
      </c>
      <c r="B31" s="24" t="s">
        <v>133</v>
      </c>
      <c r="C31" s="19">
        <v>0</v>
      </c>
      <c r="D31" s="19"/>
      <c r="E31" s="19">
        <f t="shared" si="5"/>
        <v>0</v>
      </c>
      <c r="F31" s="19"/>
      <c r="G31" s="19"/>
      <c r="H31" s="19"/>
      <c r="I31" s="19"/>
      <c r="J31" s="19"/>
      <c r="K31" s="19"/>
      <c r="L31" s="19"/>
      <c r="M31" s="19"/>
      <c r="N31" s="19"/>
      <c r="O31" s="19"/>
      <c r="P31" s="19"/>
      <c r="Q31" s="19"/>
      <c r="R31" s="21">
        <f t="shared" si="6"/>
        <v>0</v>
      </c>
      <c r="S31" s="19">
        <f t="shared" si="7"/>
        <v>0</v>
      </c>
      <c r="T31" s="24"/>
      <c r="U31" s="24"/>
      <c r="V31" s="24"/>
    </row>
    <row r="32" spans="1:22" x14ac:dyDescent="0.25">
      <c r="A32" s="24" t="s">
        <v>35</v>
      </c>
      <c r="B32" s="24" t="s">
        <v>136</v>
      </c>
      <c r="C32" s="19">
        <v>86040666</v>
      </c>
      <c r="D32" s="19"/>
      <c r="E32" s="19">
        <f t="shared" si="5"/>
        <v>86040666</v>
      </c>
      <c r="F32" s="19">
        <v>8679312.0199999996</v>
      </c>
      <c r="G32" s="19">
        <v>10209028.310000001</v>
      </c>
      <c r="H32" s="19">
        <v>8685377.0199999996</v>
      </c>
      <c r="I32" s="19">
        <v>9759145.6600000001</v>
      </c>
      <c r="J32" s="19">
        <v>9676105.0099999998</v>
      </c>
      <c r="K32" s="19"/>
      <c r="L32" s="19"/>
      <c r="M32" s="19"/>
      <c r="N32" s="19"/>
      <c r="O32" s="19"/>
      <c r="P32" s="19"/>
      <c r="Q32" s="19"/>
      <c r="R32" s="21">
        <f t="shared" si="6"/>
        <v>47008968.019999996</v>
      </c>
      <c r="S32" s="19">
        <f t="shared" si="7"/>
        <v>39031697.980000004</v>
      </c>
      <c r="T32" s="24"/>
      <c r="U32" s="24"/>
      <c r="V32" s="24"/>
    </row>
    <row r="33" spans="1:22" x14ac:dyDescent="0.25">
      <c r="A33" s="24" t="s">
        <v>36</v>
      </c>
      <c r="B33" s="24" t="s">
        <v>137</v>
      </c>
      <c r="C33" s="19"/>
      <c r="D33" s="19"/>
      <c r="E33" s="19">
        <f t="shared" si="5"/>
        <v>0</v>
      </c>
      <c r="F33" s="19"/>
      <c r="G33" s="19"/>
      <c r="H33" s="19"/>
      <c r="I33" s="19"/>
      <c r="J33" s="19"/>
      <c r="K33" s="19"/>
      <c r="L33" s="19"/>
      <c r="M33" s="19"/>
      <c r="N33" s="19"/>
      <c r="O33" s="19"/>
      <c r="P33" s="19"/>
      <c r="Q33" s="19"/>
      <c r="R33" s="21">
        <f t="shared" si="6"/>
        <v>0</v>
      </c>
      <c r="S33" s="19">
        <f t="shared" si="7"/>
        <v>0</v>
      </c>
      <c r="T33" s="24"/>
      <c r="U33" s="24"/>
      <c r="V33" s="24"/>
    </row>
    <row r="34" spans="1:22" x14ac:dyDescent="0.25">
      <c r="A34" s="24" t="s">
        <v>37</v>
      </c>
      <c r="B34" s="24" t="s">
        <v>138</v>
      </c>
      <c r="C34" s="19">
        <v>0</v>
      </c>
      <c r="D34" s="19"/>
      <c r="E34" s="19">
        <f t="shared" si="5"/>
        <v>0</v>
      </c>
      <c r="F34" s="19"/>
      <c r="G34" s="19"/>
      <c r="H34" s="19"/>
      <c r="I34" s="19"/>
      <c r="J34" s="19"/>
      <c r="K34" s="19"/>
      <c r="L34" s="19"/>
      <c r="M34" s="19"/>
      <c r="N34" s="19"/>
      <c r="O34" s="19"/>
      <c r="P34" s="19"/>
      <c r="Q34" s="19"/>
      <c r="R34" s="21">
        <f t="shared" si="6"/>
        <v>0</v>
      </c>
      <c r="S34" s="19">
        <f t="shared" si="7"/>
        <v>0</v>
      </c>
      <c r="T34" s="24"/>
      <c r="U34" s="24"/>
      <c r="V34" s="24"/>
    </row>
    <row r="35" spans="1:22" x14ac:dyDescent="0.25">
      <c r="A35" s="24" t="s">
        <v>216</v>
      </c>
      <c r="B35" s="24" t="s">
        <v>233</v>
      </c>
      <c r="C35" s="19">
        <v>0</v>
      </c>
      <c r="D35" s="19"/>
      <c r="E35" s="19">
        <f t="shared" si="5"/>
        <v>0</v>
      </c>
      <c r="F35" s="19"/>
      <c r="G35" s="19"/>
      <c r="H35" s="19"/>
      <c r="I35" s="19"/>
      <c r="J35" s="19"/>
      <c r="K35" s="19"/>
      <c r="L35" s="19"/>
      <c r="M35" s="19"/>
      <c r="N35" s="19"/>
      <c r="O35" s="19"/>
      <c r="P35" s="19"/>
      <c r="Q35" s="19"/>
      <c r="R35" s="21">
        <f t="shared" si="6"/>
        <v>0</v>
      </c>
      <c r="S35" s="19">
        <f t="shared" si="7"/>
        <v>0</v>
      </c>
      <c r="T35" s="24"/>
      <c r="U35" s="24"/>
      <c r="V35" s="24"/>
    </row>
    <row r="36" spans="1:22" x14ac:dyDescent="0.25">
      <c r="A36" s="24" t="s">
        <v>42</v>
      </c>
      <c r="B36" s="24" t="s">
        <v>143</v>
      </c>
      <c r="C36" s="19">
        <v>0</v>
      </c>
      <c r="D36" s="19"/>
      <c r="E36" s="19">
        <f t="shared" si="5"/>
        <v>0</v>
      </c>
      <c r="F36" s="19"/>
      <c r="G36" s="19"/>
      <c r="H36" s="19"/>
      <c r="I36" s="19"/>
      <c r="J36" s="19"/>
      <c r="K36" s="19"/>
      <c r="L36" s="19"/>
      <c r="M36" s="19"/>
      <c r="N36" s="19"/>
      <c r="O36" s="19"/>
      <c r="P36" s="19"/>
      <c r="Q36" s="19"/>
      <c r="R36" s="21">
        <f t="shared" si="6"/>
        <v>0</v>
      </c>
      <c r="S36" s="19">
        <f t="shared" si="7"/>
        <v>0</v>
      </c>
      <c r="T36" s="24"/>
      <c r="U36" s="24"/>
      <c r="V36" s="24"/>
    </row>
    <row r="37" spans="1:22" x14ac:dyDescent="0.25">
      <c r="A37" s="26" t="s">
        <v>44</v>
      </c>
      <c r="B37" s="26" t="s">
        <v>145</v>
      </c>
      <c r="C37" s="21">
        <v>1400000</v>
      </c>
      <c r="D37" s="21"/>
      <c r="E37" s="21">
        <f t="shared" ref="E37:E44" si="8">+C37+D37</f>
        <v>1400000</v>
      </c>
      <c r="F37" s="21">
        <v>71401.5</v>
      </c>
      <c r="G37" s="21">
        <v>67042.990000000005</v>
      </c>
      <c r="H37" s="21">
        <v>204907.67</v>
      </c>
      <c r="I37" s="21">
        <v>30133.52</v>
      </c>
      <c r="J37" s="21">
        <v>119026.67</v>
      </c>
      <c r="K37" s="21"/>
      <c r="L37" s="21"/>
      <c r="M37" s="21"/>
      <c r="N37" s="21"/>
      <c r="O37" s="21"/>
      <c r="P37" s="21"/>
      <c r="Q37" s="21"/>
      <c r="R37" s="21">
        <f t="shared" si="6"/>
        <v>492512.35000000003</v>
      </c>
      <c r="S37" s="19">
        <f t="shared" si="7"/>
        <v>907487.64999999991</v>
      </c>
      <c r="T37" s="24"/>
      <c r="U37" s="24"/>
      <c r="V37" s="24"/>
    </row>
    <row r="38" spans="1:22" x14ac:dyDescent="0.25">
      <c r="A38" s="26" t="s">
        <v>45</v>
      </c>
      <c r="B38" s="24" t="s">
        <v>146</v>
      </c>
      <c r="C38" s="21">
        <v>0</v>
      </c>
      <c r="D38" s="21"/>
      <c r="E38" s="21">
        <f t="shared" si="8"/>
        <v>0</v>
      </c>
      <c r="F38" s="21"/>
      <c r="G38" s="21"/>
      <c r="H38" s="21"/>
      <c r="I38" s="21"/>
      <c r="J38" s="21"/>
      <c r="K38" s="21"/>
      <c r="L38" s="21"/>
      <c r="M38" s="21"/>
      <c r="N38" s="21"/>
      <c r="O38" s="21"/>
      <c r="P38" s="21"/>
      <c r="Q38" s="21"/>
      <c r="R38" s="21">
        <f t="shared" si="6"/>
        <v>0</v>
      </c>
      <c r="S38" s="19">
        <f t="shared" si="7"/>
        <v>0</v>
      </c>
      <c r="T38" s="24"/>
      <c r="U38" s="24"/>
      <c r="V38" s="24"/>
    </row>
    <row r="39" spans="1:22" x14ac:dyDescent="0.25">
      <c r="A39" s="26" t="s">
        <v>47</v>
      </c>
      <c r="B39" s="26" t="s">
        <v>148</v>
      </c>
      <c r="C39" s="21"/>
      <c r="D39" s="21"/>
      <c r="E39" s="21">
        <f t="shared" si="8"/>
        <v>0</v>
      </c>
      <c r="F39" s="21"/>
      <c r="G39" s="21"/>
      <c r="H39" s="21"/>
      <c r="I39" s="21"/>
      <c r="J39" s="21"/>
      <c r="K39" s="21"/>
      <c r="L39" s="21"/>
      <c r="M39" s="21"/>
      <c r="N39" s="21"/>
      <c r="O39" s="21"/>
      <c r="P39" s="21"/>
      <c r="Q39" s="21"/>
      <c r="R39" s="21">
        <f t="shared" si="6"/>
        <v>0</v>
      </c>
      <c r="S39" s="19">
        <f t="shared" si="7"/>
        <v>0</v>
      </c>
      <c r="T39" s="24"/>
      <c r="U39" s="24"/>
      <c r="V39" s="24"/>
    </row>
    <row r="40" spans="1:22" x14ac:dyDescent="0.25">
      <c r="A40" s="26" t="s">
        <v>217</v>
      </c>
      <c r="B40" s="26" t="s">
        <v>332</v>
      </c>
      <c r="C40" s="21"/>
      <c r="D40" s="21"/>
      <c r="E40" s="21">
        <f t="shared" si="8"/>
        <v>0</v>
      </c>
      <c r="F40" s="21"/>
      <c r="G40" s="21"/>
      <c r="H40" s="21"/>
      <c r="I40" s="21"/>
      <c r="J40" s="21"/>
      <c r="K40" s="21"/>
      <c r="L40" s="21"/>
      <c r="M40" s="21"/>
      <c r="N40" s="21"/>
      <c r="O40" s="21"/>
      <c r="P40" s="21"/>
      <c r="Q40" s="21"/>
      <c r="R40" s="21">
        <f t="shared" si="6"/>
        <v>0</v>
      </c>
      <c r="S40" s="19">
        <f t="shared" si="7"/>
        <v>0</v>
      </c>
      <c r="T40" s="24"/>
      <c r="U40" s="24"/>
      <c r="V40" s="24"/>
    </row>
    <row r="41" spans="1:22" x14ac:dyDescent="0.25">
      <c r="A41" s="26" t="s">
        <v>218</v>
      </c>
      <c r="B41" s="26" t="s">
        <v>235</v>
      </c>
      <c r="C41" s="21">
        <v>0</v>
      </c>
      <c r="D41" s="21"/>
      <c r="E41" s="21">
        <f t="shared" si="8"/>
        <v>0</v>
      </c>
      <c r="F41" s="21"/>
      <c r="G41" s="21"/>
      <c r="H41" s="21"/>
      <c r="I41" s="21"/>
      <c r="J41" s="21"/>
      <c r="K41" s="21"/>
      <c r="L41" s="21"/>
      <c r="M41" s="21"/>
      <c r="N41" s="21"/>
      <c r="O41" s="21"/>
      <c r="P41" s="21"/>
      <c r="Q41" s="21"/>
      <c r="R41" s="21">
        <f t="shared" si="6"/>
        <v>0</v>
      </c>
      <c r="S41" s="19">
        <f t="shared" si="7"/>
        <v>0</v>
      </c>
      <c r="T41" s="24"/>
      <c r="U41" s="24"/>
      <c r="V41" s="24"/>
    </row>
    <row r="42" spans="1:22" x14ac:dyDescent="0.25">
      <c r="A42" s="24" t="s">
        <v>293</v>
      </c>
      <c r="B42" s="24" t="s">
        <v>294</v>
      </c>
      <c r="C42" s="21">
        <v>200000000</v>
      </c>
      <c r="D42" s="21">
        <f>-88612.82-1800-95580</f>
        <v>-185992.82</v>
      </c>
      <c r="E42" s="21">
        <f t="shared" si="8"/>
        <v>199814007.18000001</v>
      </c>
      <c r="F42" s="21"/>
      <c r="G42" s="21"/>
      <c r="H42" s="21"/>
      <c r="I42" s="21"/>
      <c r="J42" s="21"/>
      <c r="K42" s="21"/>
      <c r="L42" s="21"/>
      <c r="M42" s="21"/>
      <c r="N42" s="21"/>
      <c r="O42" s="21"/>
      <c r="P42" s="21"/>
      <c r="Q42" s="21"/>
      <c r="R42" s="21">
        <f t="shared" si="6"/>
        <v>0</v>
      </c>
      <c r="S42" s="19">
        <f t="shared" si="7"/>
        <v>199814007.18000001</v>
      </c>
      <c r="T42" s="24"/>
      <c r="U42" s="24"/>
      <c r="V42" s="24"/>
    </row>
    <row r="43" spans="1:22" x14ac:dyDescent="0.25">
      <c r="A43" s="26" t="s">
        <v>52</v>
      </c>
      <c r="B43" s="26" t="s">
        <v>153</v>
      </c>
      <c r="C43" s="21">
        <v>0</v>
      </c>
      <c r="D43" s="21"/>
      <c r="E43" s="21">
        <f t="shared" si="8"/>
        <v>0</v>
      </c>
      <c r="F43" s="21"/>
      <c r="G43" s="21"/>
      <c r="H43" s="21"/>
      <c r="I43" s="21"/>
      <c r="J43" s="21"/>
      <c r="K43" s="21"/>
      <c r="L43" s="21"/>
      <c r="M43" s="21"/>
      <c r="N43" s="21"/>
      <c r="O43" s="21"/>
      <c r="P43" s="21"/>
      <c r="Q43" s="21"/>
      <c r="R43" s="21">
        <f t="shared" si="6"/>
        <v>0</v>
      </c>
      <c r="S43" s="21">
        <f t="shared" si="7"/>
        <v>0</v>
      </c>
      <c r="T43" s="26"/>
      <c r="U43" s="24"/>
      <c r="V43" s="24"/>
    </row>
    <row r="44" spans="1:22" x14ac:dyDescent="0.25">
      <c r="A44" s="30" t="s">
        <v>298</v>
      </c>
      <c r="B44" s="30" t="s">
        <v>299</v>
      </c>
      <c r="C44" s="20"/>
      <c r="D44" s="20"/>
      <c r="E44" s="20">
        <f t="shared" si="8"/>
        <v>0</v>
      </c>
      <c r="F44" s="20"/>
      <c r="G44" s="20"/>
      <c r="H44" s="20"/>
      <c r="I44" s="20"/>
      <c r="J44" s="20"/>
      <c r="K44" s="20"/>
      <c r="L44" s="20"/>
      <c r="M44" s="20"/>
      <c r="N44" s="20"/>
      <c r="O44" s="20"/>
      <c r="P44" s="20"/>
      <c r="Q44" s="20"/>
      <c r="R44" s="20">
        <f t="shared" si="6"/>
        <v>0</v>
      </c>
      <c r="S44" s="20">
        <f t="shared" si="7"/>
        <v>0</v>
      </c>
      <c r="T44" s="24"/>
      <c r="U44" s="24"/>
      <c r="V44" s="24"/>
    </row>
    <row r="45" spans="1:22" x14ac:dyDescent="0.25">
      <c r="A45" s="6" t="s">
        <v>249</v>
      </c>
      <c r="B45" s="6"/>
      <c r="C45" s="17">
        <f>SUM(C24:C43)</f>
        <v>287440666</v>
      </c>
      <c r="D45" s="17">
        <f t="shared" ref="D45:R45" si="9">SUM(D24:D44)</f>
        <v>260160</v>
      </c>
      <c r="E45" s="17">
        <f t="shared" si="9"/>
        <v>287700826</v>
      </c>
      <c r="F45" s="17">
        <f t="shared" si="9"/>
        <v>8839326.3399999999</v>
      </c>
      <c r="G45" s="17">
        <f t="shared" si="9"/>
        <v>10366341.300000001</v>
      </c>
      <c r="H45" s="17">
        <f t="shared" si="9"/>
        <v>8978784.6899999995</v>
      </c>
      <c r="I45" s="17">
        <f t="shared" si="9"/>
        <v>9872469.1799999997</v>
      </c>
      <c r="J45" s="17">
        <f t="shared" ref="J45" si="10">SUM(J24:J44)</f>
        <v>9890711.6799999997</v>
      </c>
      <c r="K45" s="17">
        <f t="shared" si="9"/>
        <v>0</v>
      </c>
      <c r="L45" s="17">
        <f t="shared" si="9"/>
        <v>0</v>
      </c>
      <c r="M45" s="17">
        <f t="shared" si="9"/>
        <v>0</v>
      </c>
      <c r="N45" s="17">
        <f t="shared" si="9"/>
        <v>0</v>
      </c>
      <c r="O45" s="17">
        <f t="shared" si="9"/>
        <v>0</v>
      </c>
      <c r="P45" s="17">
        <f t="shared" si="9"/>
        <v>0</v>
      </c>
      <c r="Q45" s="17">
        <f t="shared" si="9"/>
        <v>0</v>
      </c>
      <c r="R45" s="17">
        <f t="shared" si="9"/>
        <v>47947633.189999998</v>
      </c>
      <c r="S45" s="17">
        <f>SUM(S24:S43)</f>
        <v>239753192.81</v>
      </c>
      <c r="T45" s="24"/>
      <c r="U45" s="24"/>
      <c r="V45" s="24"/>
    </row>
    <row r="46" spans="1:22" x14ac:dyDescent="0.25">
      <c r="A46" s="24"/>
      <c r="B46" s="24"/>
      <c r="C46" s="19"/>
      <c r="D46" s="24"/>
      <c r="E46" s="24"/>
      <c r="F46" s="19"/>
      <c r="G46" s="19"/>
      <c r="H46" s="19"/>
      <c r="I46" s="19"/>
      <c r="J46" s="19"/>
      <c r="K46" s="19"/>
      <c r="L46" s="19"/>
      <c r="M46" s="19"/>
      <c r="N46" s="19"/>
      <c r="O46" s="19"/>
      <c r="P46" s="19"/>
      <c r="Q46" s="19"/>
      <c r="R46" s="24"/>
      <c r="S46" s="24"/>
      <c r="T46" s="24"/>
      <c r="U46" s="24"/>
      <c r="V46" s="24"/>
    </row>
    <row r="47" spans="1:22" x14ac:dyDescent="0.25">
      <c r="A47" s="24" t="s">
        <v>54</v>
      </c>
      <c r="B47" s="24" t="s">
        <v>155</v>
      </c>
      <c r="C47" s="19">
        <v>28171626</v>
      </c>
      <c r="D47" s="19"/>
      <c r="E47" s="19">
        <f t="shared" ref="E47:E74" si="11">+C47+D47</f>
        <v>28171626</v>
      </c>
      <c r="F47" s="19">
        <f>2555300.33+96064.25</f>
        <v>2651364.58</v>
      </c>
      <c r="G47" s="19">
        <f>1442401.7+747708.68</f>
        <v>2190110.38</v>
      </c>
      <c r="H47" s="19">
        <f>2183287.75+194373.68</f>
        <v>2377661.4300000002</v>
      </c>
      <c r="I47" s="19">
        <v>2611156.5299999998</v>
      </c>
      <c r="J47" s="19">
        <v>915133.84</v>
      </c>
      <c r="K47" s="19"/>
      <c r="L47" s="19"/>
      <c r="M47" s="19"/>
      <c r="N47" s="19"/>
      <c r="O47" s="19"/>
      <c r="P47" s="19"/>
      <c r="Q47" s="19"/>
      <c r="R47" s="19">
        <f t="shared" ref="R47:R76" si="12">SUM(F47:Q47)</f>
        <v>10745426.76</v>
      </c>
      <c r="S47" s="19">
        <f t="shared" ref="S47:S76" si="13">+E47-R47</f>
        <v>17426199.240000002</v>
      </c>
      <c r="T47" s="24"/>
      <c r="U47" s="24"/>
      <c r="V47" s="24"/>
    </row>
    <row r="48" spans="1:22" x14ac:dyDescent="0.25">
      <c r="A48" s="24" t="s">
        <v>55</v>
      </c>
      <c r="B48" s="24" t="s">
        <v>156</v>
      </c>
      <c r="C48" s="19"/>
      <c r="D48" s="19"/>
      <c r="E48" s="19">
        <f t="shared" si="11"/>
        <v>0</v>
      </c>
      <c r="F48" s="19"/>
      <c r="G48" s="19"/>
      <c r="H48" s="19"/>
      <c r="I48" s="19"/>
      <c r="J48" s="19"/>
      <c r="K48" s="19"/>
      <c r="L48" s="19"/>
      <c r="M48" s="19"/>
      <c r="N48" s="19"/>
      <c r="O48" s="19"/>
      <c r="P48" s="19"/>
      <c r="Q48" s="19"/>
      <c r="R48" s="19">
        <f t="shared" si="12"/>
        <v>0</v>
      </c>
      <c r="S48" s="19">
        <f t="shared" si="13"/>
        <v>0</v>
      </c>
      <c r="T48" s="24"/>
      <c r="U48" s="24"/>
      <c r="V48" s="24"/>
    </row>
    <row r="49" spans="1:22" x14ac:dyDescent="0.25">
      <c r="A49" s="24" t="s">
        <v>56</v>
      </c>
      <c r="B49" s="24" t="s">
        <v>157</v>
      </c>
      <c r="C49" s="19">
        <v>0</v>
      </c>
      <c r="D49" s="19"/>
      <c r="E49" s="19">
        <f t="shared" si="11"/>
        <v>0</v>
      </c>
      <c r="F49" s="19"/>
      <c r="G49" s="19"/>
      <c r="H49" s="19"/>
      <c r="I49" s="19"/>
      <c r="J49" s="19"/>
      <c r="K49" s="19"/>
      <c r="L49" s="19"/>
      <c r="M49" s="19"/>
      <c r="N49" s="19"/>
      <c r="O49" s="19"/>
      <c r="P49" s="19"/>
      <c r="Q49" s="19"/>
      <c r="R49" s="19">
        <f t="shared" si="12"/>
        <v>0</v>
      </c>
      <c r="S49" s="19">
        <f t="shared" si="13"/>
        <v>0</v>
      </c>
      <c r="T49" s="24"/>
      <c r="U49" s="24"/>
      <c r="V49" s="24"/>
    </row>
    <row r="50" spans="1:22" x14ac:dyDescent="0.25">
      <c r="A50" s="24" t="s">
        <v>57</v>
      </c>
      <c r="B50" s="24" t="s">
        <v>158</v>
      </c>
      <c r="C50" s="19">
        <v>0</v>
      </c>
      <c r="D50" s="19"/>
      <c r="E50" s="19">
        <f t="shared" si="11"/>
        <v>0</v>
      </c>
      <c r="F50" s="19"/>
      <c r="G50" s="19"/>
      <c r="H50" s="19"/>
      <c r="I50" s="19"/>
      <c r="J50" s="19"/>
      <c r="K50" s="19"/>
      <c r="L50" s="19"/>
      <c r="M50" s="19"/>
      <c r="N50" s="19"/>
      <c r="O50" s="19"/>
      <c r="P50" s="19"/>
      <c r="Q50" s="19"/>
      <c r="R50" s="19">
        <f t="shared" si="12"/>
        <v>0</v>
      </c>
      <c r="S50" s="19">
        <f t="shared" si="13"/>
        <v>0</v>
      </c>
      <c r="T50" s="24"/>
      <c r="U50" s="24"/>
      <c r="V50" s="24"/>
    </row>
    <row r="51" spans="1:22" x14ac:dyDescent="0.25">
      <c r="A51" s="24" t="s">
        <v>60</v>
      </c>
      <c r="B51" s="24" t="s">
        <v>161</v>
      </c>
      <c r="C51" s="19">
        <v>0</v>
      </c>
      <c r="D51" s="19"/>
      <c r="E51" s="19">
        <f t="shared" si="11"/>
        <v>0</v>
      </c>
      <c r="F51" s="19"/>
      <c r="G51" s="19"/>
      <c r="H51" s="19"/>
      <c r="I51" s="19"/>
      <c r="J51" s="19"/>
      <c r="K51" s="19"/>
      <c r="L51" s="19"/>
      <c r="M51" s="19"/>
      <c r="N51" s="19"/>
      <c r="O51" s="19"/>
      <c r="P51" s="19"/>
      <c r="Q51" s="19"/>
      <c r="R51" s="19">
        <f t="shared" si="12"/>
        <v>0</v>
      </c>
      <c r="S51" s="19">
        <f t="shared" si="13"/>
        <v>0</v>
      </c>
      <c r="T51" s="24"/>
      <c r="U51" s="24"/>
      <c r="V51" s="24"/>
    </row>
    <row r="52" spans="1:22" x14ac:dyDescent="0.25">
      <c r="A52" s="24" t="s">
        <v>61</v>
      </c>
      <c r="B52" s="24" t="s">
        <v>162</v>
      </c>
      <c r="C52" s="19">
        <v>0</v>
      </c>
      <c r="D52" s="19"/>
      <c r="E52" s="19">
        <f t="shared" si="11"/>
        <v>0</v>
      </c>
      <c r="F52" s="19"/>
      <c r="G52" s="19"/>
      <c r="H52" s="19"/>
      <c r="I52" s="19"/>
      <c r="J52" s="19"/>
      <c r="K52" s="19"/>
      <c r="L52" s="19"/>
      <c r="M52" s="19"/>
      <c r="N52" s="19"/>
      <c r="O52" s="19"/>
      <c r="P52" s="19"/>
      <c r="Q52" s="19"/>
      <c r="R52" s="19">
        <f t="shared" si="12"/>
        <v>0</v>
      </c>
      <c r="S52" s="19">
        <f t="shared" si="13"/>
        <v>0</v>
      </c>
      <c r="T52" s="24"/>
      <c r="U52" s="24"/>
      <c r="V52" s="24"/>
    </row>
    <row r="53" spans="1:22" x14ac:dyDescent="0.25">
      <c r="A53" s="24" t="s">
        <v>62</v>
      </c>
      <c r="B53" s="24" t="s">
        <v>163</v>
      </c>
      <c r="C53" s="19"/>
      <c r="D53" s="19"/>
      <c r="E53" s="19">
        <f t="shared" si="11"/>
        <v>0</v>
      </c>
      <c r="F53" s="19"/>
      <c r="G53" s="19"/>
      <c r="H53" s="19"/>
      <c r="I53" s="19"/>
      <c r="J53" s="19"/>
      <c r="K53" s="19"/>
      <c r="L53" s="19"/>
      <c r="M53" s="19"/>
      <c r="N53" s="19"/>
      <c r="O53" s="19"/>
      <c r="P53" s="19"/>
      <c r="Q53" s="19"/>
      <c r="R53" s="19">
        <f t="shared" si="12"/>
        <v>0</v>
      </c>
      <c r="S53" s="19">
        <f t="shared" si="13"/>
        <v>0</v>
      </c>
      <c r="T53" s="24"/>
      <c r="U53" s="24"/>
      <c r="V53" s="24"/>
    </row>
    <row r="54" spans="1:22" x14ac:dyDescent="0.25">
      <c r="A54" s="24" t="s">
        <v>63</v>
      </c>
      <c r="B54" s="24" t="s">
        <v>164</v>
      </c>
      <c r="C54" s="19"/>
      <c r="D54" s="19"/>
      <c r="E54" s="19">
        <f t="shared" si="11"/>
        <v>0</v>
      </c>
      <c r="F54" s="19"/>
      <c r="G54" s="19"/>
      <c r="H54" s="19"/>
      <c r="I54" s="19"/>
      <c r="J54" s="19"/>
      <c r="K54" s="19"/>
      <c r="L54" s="19"/>
      <c r="M54" s="19"/>
      <c r="N54" s="19"/>
      <c r="O54" s="19"/>
      <c r="P54" s="19"/>
      <c r="Q54" s="19"/>
      <c r="R54" s="19">
        <f t="shared" si="12"/>
        <v>0</v>
      </c>
      <c r="S54" s="19">
        <f t="shared" si="13"/>
        <v>0</v>
      </c>
      <c r="T54" s="24"/>
      <c r="U54" s="24"/>
      <c r="V54" s="24"/>
    </row>
    <row r="55" spans="1:22" x14ac:dyDescent="0.25">
      <c r="A55" s="24" t="s">
        <v>64</v>
      </c>
      <c r="B55" s="24" t="s">
        <v>323</v>
      </c>
      <c r="C55" s="19"/>
      <c r="D55" s="19"/>
      <c r="E55" s="19">
        <f t="shared" si="11"/>
        <v>0</v>
      </c>
      <c r="F55" s="19"/>
      <c r="G55" s="19"/>
      <c r="H55" s="19"/>
      <c r="I55" s="19"/>
      <c r="J55" s="19"/>
      <c r="K55" s="19"/>
      <c r="L55" s="19"/>
      <c r="M55" s="19"/>
      <c r="N55" s="19"/>
      <c r="O55" s="19"/>
      <c r="P55" s="19"/>
      <c r="Q55" s="19"/>
      <c r="R55" s="19">
        <f t="shared" si="12"/>
        <v>0</v>
      </c>
      <c r="S55" s="19">
        <f t="shared" si="13"/>
        <v>0</v>
      </c>
      <c r="T55" s="24"/>
      <c r="U55" s="24"/>
      <c r="V55" s="24"/>
    </row>
    <row r="56" spans="1:22" x14ac:dyDescent="0.25">
      <c r="A56" s="24" t="s">
        <v>66</v>
      </c>
      <c r="B56" s="24" t="s">
        <v>166</v>
      </c>
      <c r="C56" s="19">
        <v>0</v>
      </c>
      <c r="D56" s="19"/>
      <c r="E56" s="19">
        <f t="shared" si="11"/>
        <v>0</v>
      </c>
      <c r="F56" s="19"/>
      <c r="G56" s="19"/>
      <c r="H56" s="19"/>
      <c r="I56" s="19"/>
      <c r="J56" s="19"/>
      <c r="K56" s="19"/>
      <c r="L56" s="19"/>
      <c r="M56" s="19"/>
      <c r="N56" s="19"/>
      <c r="O56" s="19"/>
      <c r="P56" s="19"/>
      <c r="Q56" s="19"/>
      <c r="R56" s="19">
        <f t="shared" si="12"/>
        <v>0</v>
      </c>
      <c r="S56" s="19">
        <f t="shared" si="13"/>
        <v>0</v>
      </c>
      <c r="T56" s="24"/>
      <c r="U56" s="24"/>
      <c r="V56" s="24"/>
    </row>
    <row r="57" spans="1:22" x14ac:dyDescent="0.25">
      <c r="A57" s="24" t="s">
        <v>67</v>
      </c>
      <c r="B57" s="24" t="s">
        <v>167</v>
      </c>
      <c r="C57" s="19">
        <v>0</v>
      </c>
      <c r="D57" s="19"/>
      <c r="E57" s="19">
        <f t="shared" si="11"/>
        <v>0</v>
      </c>
      <c r="F57" s="19"/>
      <c r="G57" s="19"/>
      <c r="H57" s="19"/>
      <c r="I57" s="19"/>
      <c r="J57" s="19"/>
      <c r="K57" s="19"/>
      <c r="L57" s="19"/>
      <c r="M57" s="19"/>
      <c r="N57" s="19"/>
      <c r="O57" s="19"/>
      <c r="P57" s="19"/>
      <c r="Q57" s="19"/>
      <c r="R57" s="19">
        <f t="shared" si="12"/>
        <v>0</v>
      </c>
      <c r="S57" s="19">
        <f t="shared" si="13"/>
        <v>0</v>
      </c>
      <c r="T57" s="24"/>
      <c r="U57" s="24"/>
      <c r="V57" s="24"/>
    </row>
    <row r="58" spans="1:22" x14ac:dyDescent="0.25">
      <c r="A58" s="24" t="s">
        <v>68</v>
      </c>
      <c r="B58" s="24" t="s">
        <v>168</v>
      </c>
      <c r="C58" s="19">
        <v>0</v>
      </c>
      <c r="D58" s="19"/>
      <c r="E58" s="19">
        <f t="shared" si="11"/>
        <v>0</v>
      </c>
      <c r="F58" s="19"/>
      <c r="G58" s="19"/>
      <c r="H58" s="19"/>
      <c r="I58" s="19"/>
      <c r="J58" s="19"/>
      <c r="K58" s="19"/>
      <c r="L58" s="19"/>
      <c r="M58" s="19"/>
      <c r="N58" s="19"/>
      <c r="O58" s="19"/>
      <c r="P58" s="19"/>
      <c r="Q58" s="19"/>
      <c r="R58" s="19">
        <f t="shared" si="12"/>
        <v>0</v>
      </c>
      <c r="S58" s="19">
        <f t="shared" si="13"/>
        <v>0</v>
      </c>
      <c r="T58" s="24"/>
      <c r="U58" s="24"/>
      <c r="V58" s="24"/>
    </row>
    <row r="59" spans="1:22" x14ac:dyDescent="0.25">
      <c r="A59" s="24" t="s">
        <v>219</v>
      </c>
      <c r="B59" s="24" t="s">
        <v>169</v>
      </c>
      <c r="C59" s="19"/>
      <c r="D59" s="19"/>
      <c r="E59" s="19">
        <f t="shared" si="11"/>
        <v>0</v>
      </c>
      <c r="F59" s="19"/>
      <c r="G59" s="19"/>
      <c r="H59" s="19"/>
      <c r="I59" s="19"/>
      <c r="J59" s="19"/>
      <c r="K59" s="19"/>
      <c r="L59" s="19"/>
      <c r="M59" s="19"/>
      <c r="N59" s="19"/>
      <c r="O59" s="19"/>
      <c r="P59" s="19"/>
      <c r="Q59" s="19"/>
      <c r="R59" s="19">
        <f t="shared" si="12"/>
        <v>0</v>
      </c>
      <c r="S59" s="19">
        <f t="shared" si="13"/>
        <v>0</v>
      </c>
      <c r="T59" s="24"/>
      <c r="U59" s="24"/>
      <c r="V59" s="24"/>
    </row>
    <row r="60" spans="1:22" x14ac:dyDescent="0.25">
      <c r="A60" s="24" t="s">
        <v>220</v>
      </c>
      <c r="B60" s="24" t="s">
        <v>170</v>
      </c>
      <c r="C60" s="19">
        <v>0</v>
      </c>
      <c r="D60" s="19"/>
      <c r="E60" s="19">
        <f t="shared" si="11"/>
        <v>0</v>
      </c>
      <c r="F60" s="19"/>
      <c r="G60" s="19"/>
      <c r="H60" s="19"/>
      <c r="I60" s="19"/>
      <c r="J60" s="19"/>
      <c r="K60" s="19"/>
      <c r="L60" s="19"/>
      <c r="M60" s="19"/>
      <c r="N60" s="19"/>
      <c r="O60" s="19"/>
      <c r="P60" s="19"/>
      <c r="Q60" s="19"/>
      <c r="R60" s="19">
        <f t="shared" si="12"/>
        <v>0</v>
      </c>
      <c r="S60" s="19">
        <f t="shared" si="13"/>
        <v>0</v>
      </c>
      <c r="T60" s="24"/>
      <c r="U60" s="24"/>
      <c r="V60" s="24"/>
    </row>
    <row r="61" spans="1:22" x14ac:dyDescent="0.25">
      <c r="A61" s="24" t="s">
        <v>221</v>
      </c>
      <c r="B61" s="24" t="s">
        <v>171</v>
      </c>
      <c r="C61" s="19"/>
      <c r="D61" s="19"/>
      <c r="E61" s="19">
        <f t="shared" si="11"/>
        <v>0</v>
      </c>
      <c r="F61" s="19"/>
      <c r="G61" s="19"/>
      <c r="H61" s="19"/>
      <c r="I61" s="19"/>
      <c r="J61" s="19"/>
      <c r="K61" s="19"/>
      <c r="L61" s="19"/>
      <c r="M61" s="19"/>
      <c r="N61" s="19"/>
      <c r="O61" s="19"/>
      <c r="P61" s="19"/>
      <c r="Q61" s="19"/>
      <c r="R61" s="19">
        <f t="shared" si="12"/>
        <v>0</v>
      </c>
      <c r="S61" s="19">
        <f t="shared" si="13"/>
        <v>0</v>
      </c>
      <c r="T61" s="24"/>
      <c r="U61" s="24"/>
      <c r="V61" s="24"/>
    </row>
    <row r="62" spans="1:22" x14ac:dyDescent="0.25">
      <c r="A62" s="24" t="s">
        <v>69</v>
      </c>
      <c r="B62" s="24" t="s">
        <v>172</v>
      </c>
      <c r="C62" s="19"/>
      <c r="D62" s="19"/>
      <c r="E62" s="19">
        <f t="shared" si="11"/>
        <v>0</v>
      </c>
      <c r="F62" s="19"/>
      <c r="G62" s="19"/>
      <c r="H62" s="19"/>
      <c r="I62" s="19"/>
      <c r="J62" s="19"/>
      <c r="K62" s="19"/>
      <c r="L62" s="19"/>
      <c r="M62" s="19"/>
      <c r="N62" s="19"/>
      <c r="O62" s="19"/>
      <c r="P62" s="19"/>
      <c r="Q62" s="19"/>
      <c r="R62" s="19">
        <f t="shared" si="12"/>
        <v>0</v>
      </c>
      <c r="S62" s="19">
        <f t="shared" si="13"/>
        <v>0</v>
      </c>
      <c r="T62" s="24"/>
      <c r="U62" s="24"/>
      <c r="V62" s="24"/>
    </row>
    <row r="63" spans="1:22" x14ac:dyDescent="0.25">
      <c r="A63" s="24" t="s">
        <v>266</v>
      </c>
      <c r="B63" s="24" t="s">
        <v>267</v>
      </c>
      <c r="C63" s="19"/>
      <c r="D63" s="19"/>
      <c r="E63" s="19">
        <f t="shared" si="11"/>
        <v>0</v>
      </c>
      <c r="F63" s="19"/>
      <c r="G63" s="19"/>
      <c r="H63" s="19"/>
      <c r="I63" s="19"/>
      <c r="J63" s="19"/>
      <c r="K63" s="19"/>
      <c r="L63" s="19"/>
      <c r="M63" s="19"/>
      <c r="N63" s="19"/>
      <c r="O63" s="19"/>
      <c r="P63" s="19"/>
      <c r="Q63" s="19"/>
      <c r="R63" s="19">
        <f t="shared" si="12"/>
        <v>0</v>
      </c>
      <c r="S63" s="19">
        <f t="shared" si="13"/>
        <v>0</v>
      </c>
      <c r="T63" s="24"/>
      <c r="U63" s="24"/>
      <c r="V63" s="24"/>
    </row>
    <row r="64" spans="1:22" x14ac:dyDescent="0.25">
      <c r="A64" s="24" t="s">
        <v>70</v>
      </c>
      <c r="B64" s="24" t="s">
        <v>173</v>
      </c>
      <c r="C64" s="19">
        <v>0</v>
      </c>
      <c r="D64" s="19"/>
      <c r="E64" s="19">
        <f t="shared" si="11"/>
        <v>0</v>
      </c>
      <c r="F64" s="19"/>
      <c r="G64" s="19"/>
      <c r="H64" s="19"/>
      <c r="I64" s="19"/>
      <c r="J64" s="19"/>
      <c r="K64" s="19"/>
      <c r="L64" s="19"/>
      <c r="M64" s="19"/>
      <c r="N64" s="19"/>
      <c r="O64" s="19"/>
      <c r="P64" s="19"/>
      <c r="Q64" s="19"/>
      <c r="R64" s="19">
        <f t="shared" si="12"/>
        <v>0</v>
      </c>
      <c r="S64" s="19">
        <f t="shared" si="13"/>
        <v>0</v>
      </c>
      <c r="T64" s="24"/>
      <c r="U64" s="24"/>
      <c r="V64" s="24"/>
    </row>
    <row r="65" spans="1:22" x14ac:dyDescent="0.25">
      <c r="A65" s="24" t="s">
        <v>71</v>
      </c>
      <c r="B65" s="24" t="s">
        <v>174</v>
      </c>
      <c r="C65" s="19"/>
      <c r="D65" s="19"/>
      <c r="E65" s="19">
        <f t="shared" si="11"/>
        <v>0</v>
      </c>
      <c r="F65" s="19"/>
      <c r="G65" s="19"/>
      <c r="H65" s="19"/>
      <c r="I65" s="19"/>
      <c r="J65" s="19"/>
      <c r="K65" s="19"/>
      <c r="L65" s="19"/>
      <c r="M65" s="19"/>
      <c r="N65" s="19"/>
      <c r="O65" s="19"/>
      <c r="P65" s="19"/>
      <c r="Q65" s="19"/>
      <c r="R65" s="19">
        <f t="shared" si="12"/>
        <v>0</v>
      </c>
      <c r="S65" s="19">
        <f t="shared" si="13"/>
        <v>0</v>
      </c>
      <c r="T65" s="24"/>
      <c r="U65" s="24"/>
      <c r="V65" s="24"/>
    </row>
    <row r="66" spans="1:22" x14ac:dyDescent="0.25">
      <c r="A66" s="24" t="s">
        <v>74</v>
      </c>
      <c r="B66" s="24" t="s">
        <v>177</v>
      </c>
      <c r="C66" s="19">
        <v>0</v>
      </c>
      <c r="D66" s="19"/>
      <c r="E66" s="19">
        <f t="shared" si="11"/>
        <v>0</v>
      </c>
      <c r="F66" s="19"/>
      <c r="G66" s="19"/>
      <c r="H66" s="19"/>
      <c r="I66" s="19"/>
      <c r="J66" s="19"/>
      <c r="K66" s="19"/>
      <c r="L66" s="19"/>
      <c r="M66" s="19"/>
      <c r="N66" s="19"/>
      <c r="O66" s="19"/>
      <c r="P66" s="19"/>
      <c r="Q66" s="19"/>
      <c r="R66" s="19">
        <f t="shared" si="12"/>
        <v>0</v>
      </c>
      <c r="S66" s="19">
        <f t="shared" si="13"/>
        <v>0</v>
      </c>
      <c r="T66" s="24"/>
      <c r="U66" s="24"/>
      <c r="V66" s="24"/>
    </row>
    <row r="67" spans="1:22" x14ac:dyDescent="0.25">
      <c r="A67" s="24" t="s">
        <v>207</v>
      </c>
      <c r="B67" s="24" t="s">
        <v>238</v>
      </c>
      <c r="C67" s="19">
        <v>0</v>
      </c>
      <c r="D67" s="19"/>
      <c r="E67" s="19">
        <f t="shared" si="11"/>
        <v>0</v>
      </c>
      <c r="F67" s="19"/>
      <c r="G67" s="19"/>
      <c r="H67" s="19"/>
      <c r="I67" s="19"/>
      <c r="J67" s="19"/>
      <c r="K67" s="19"/>
      <c r="L67" s="19"/>
      <c r="M67" s="19"/>
      <c r="N67" s="19"/>
      <c r="O67" s="19"/>
      <c r="P67" s="19"/>
      <c r="Q67" s="19"/>
      <c r="R67" s="19">
        <f t="shared" si="12"/>
        <v>0</v>
      </c>
      <c r="S67" s="19">
        <f t="shared" si="13"/>
        <v>0</v>
      </c>
      <c r="T67" s="24"/>
      <c r="U67" s="24"/>
      <c r="V67" s="24"/>
    </row>
    <row r="68" spans="1:22" x14ac:dyDescent="0.25">
      <c r="A68" s="24" t="s">
        <v>206</v>
      </c>
      <c r="B68" s="24" t="s">
        <v>321</v>
      </c>
      <c r="C68" s="19"/>
      <c r="D68" s="19"/>
      <c r="E68" s="19">
        <f t="shared" si="11"/>
        <v>0</v>
      </c>
      <c r="F68" s="19"/>
      <c r="G68" s="19"/>
      <c r="H68" s="19"/>
      <c r="I68" s="19"/>
      <c r="J68" s="19"/>
      <c r="K68" s="19"/>
      <c r="L68" s="19"/>
      <c r="M68" s="19"/>
      <c r="N68" s="19"/>
      <c r="O68" s="19"/>
      <c r="P68" s="19"/>
      <c r="Q68" s="19"/>
      <c r="R68" s="19">
        <f t="shared" si="12"/>
        <v>0</v>
      </c>
      <c r="S68" s="19">
        <f t="shared" si="13"/>
        <v>0</v>
      </c>
      <c r="T68" s="24"/>
      <c r="U68" s="24"/>
      <c r="V68" s="24"/>
    </row>
    <row r="69" spans="1:22" x14ac:dyDescent="0.25">
      <c r="A69" s="24" t="s">
        <v>75</v>
      </c>
      <c r="B69" s="24" t="s">
        <v>319</v>
      </c>
      <c r="C69" s="19"/>
      <c r="D69" s="19"/>
      <c r="E69" s="19">
        <f t="shared" si="11"/>
        <v>0</v>
      </c>
      <c r="F69" s="19"/>
      <c r="G69" s="19"/>
      <c r="H69" s="19"/>
      <c r="I69" s="19"/>
      <c r="J69" s="19"/>
      <c r="K69" s="19"/>
      <c r="L69" s="19"/>
      <c r="M69" s="19"/>
      <c r="N69" s="19"/>
      <c r="O69" s="19"/>
      <c r="P69" s="19"/>
      <c r="Q69" s="19"/>
      <c r="R69" s="19">
        <f t="shared" si="12"/>
        <v>0</v>
      </c>
      <c r="S69" s="19">
        <f t="shared" si="13"/>
        <v>0</v>
      </c>
      <c r="T69" s="24"/>
      <c r="U69" s="24"/>
      <c r="V69" s="24"/>
    </row>
    <row r="70" spans="1:22" x14ac:dyDescent="0.25">
      <c r="A70" s="24" t="s">
        <v>208</v>
      </c>
      <c r="B70" s="24" t="s">
        <v>241</v>
      </c>
      <c r="C70" s="19">
        <v>0</v>
      </c>
      <c r="D70" s="19"/>
      <c r="E70" s="19">
        <f t="shared" si="11"/>
        <v>0</v>
      </c>
      <c r="F70" s="19"/>
      <c r="G70" s="19"/>
      <c r="H70" s="19"/>
      <c r="I70" s="19"/>
      <c r="J70" s="19"/>
      <c r="K70" s="19"/>
      <c r="L70" s="19"/>
      <c r="M70" s="19"/>
      <c r="N70" s="19"/>
      <c r="O70" s="19"/>
      <c r="P70" s="19"/>
      <c r="Q70" s="19"/>
      <c r="R70" s="19">
        <f t="shared" si="12"/>
        <v>0</v>
      </c>
      <c r="S70" s="19">
        <f t="shared" si="13"/>
        <v>0</v>
      </c>
      <c r="T70" s="24"/>
      <c r="U70" s="24"/>
      <c r="V70" s="24"/>
    </row>
    <row r="71" spans="1:22" x14ac:dyDescent="0.25">
      <c r="A71" s="24" t="s">
        <v>76</v>
      </c>
      <c r="B71" s="24" t="s">
        <v>178</v>
      </c>
      <c r="C71" s="19">
        <v>0</v>
      </c>
      <c r="D71" s="19"/>
      <c r="E71" s="19">
        <f t="shared" si="11"/>
        <v>0</v>
      </c>
      <c r="F71" s="19"/>
      <c r="G71" s="19"/>
      <c r="H71" s="19"/>
      <c r="I71" s="19"/>
      <c r="J71" s="19"/>
      <c r="K71" s="19"/>
      <c r="L71" s="19"/>
      <c r="M71" s="19"/>
      <c r="N71" s="19"/>
      <c r="O71" s="19"/>
      <c r="P71" s="19"/>
      <c r="Q71" s="19"/>
      <c r="R71" s="19">
        <f t="shared" si="12"/>
        <v>0</v>
      </c>
      <c r="S71" s="19">
        <f t="shared" si="13"/>
        <v>0</v>
      </c>
      <c r="T71" s="24"/>
      <c r="U71" s="24"/>
      <c r="V71" s="24"/>
    </row>
    <row r="72" spans="1:22" x14ac:dyDescent="0.25">
      <c r="A72" s="24" t="s">
        <v>77</v>
      </c>
      <c r="B72" s="24" t="s">
        <v>179</v>
      </c>
      <c r="C72" s="19">
        <v>0</v>
      </c>
      <c r="D72" s="19"/>
      <c r="E72" s="19">
        <f t="shared" si="11"/>
        <v>0</v>
      </c>
      <c r="F72" s="19"/>
      <c r="G72" s="19"/>
      <c r="H72" s="19"/>
      <c r="I72" s="19"/>
      <c r="J72" s="19"/>
      <c r="K72" s="19"/>
      <c r="L72" s="19"/>
      <c r="M72" s="19"/>
      <c r="N72" s="19"/>
      <c r="O72" s="19"/>
      <c r="P72" s="19"/>
      <c r="Q72" s="19"/>
      <c r="R72" s="19">
        <f t="shared" si="12"/>
        <v>0</v>
      </c>
      <c r="S72" s="19">
        <f t="shared" si="13"/>
        <v>0</v>
      </c>
      <c r="T72" s="24"/>
      <c r="U72" s="24"/>
      <c r="V72" s="24"/>
    </row>
    <row r="73" spans="1:22" x14ac:dyDescent="0.25">
      <c r="A73" s="24" t="s">
        <v>295</v>
      </c>
      <c r="B73" s="24" t="s">
        <v>322</v>
      </c>
      <c r="C73" s="19">
        <v>0</v>
      </c>
      <c r="D73" s="19"/>
      <c r="E73" s="19">
        <f t="shared" si="11"/>
        <v>0</v>
      </c>
      <c r="F73" s="19"/>
      <c r="G73" s="19"/>
      <c r="H73" s="19"/>
      <c r="I73" s="19"/>
      <c r="J73" s="19"/>
      <c r="K73" s="19"/>
      <c r="L73" s="19"/>
      <c r="M73" s="19"/>
      <c r="N73" s="19"/>
      <c r="O73" s="19"/>
      <c r="P73" s="19"/>
      <c r="Q73" s="19"/>
      <c r="R73" s="19">
        <f t="shared" si="12"/>
        <v>0</v>
      </c>
      <c r="S73" s="19">
        <f t="shared" si="13"/>
        <v>0</v>
      </c>
      <c r="T73" s="24"/>
      <c r="U73" s="24"/>
      <c r="V73" s="24"/>
    </row>
    <row r="74" spans="1:22" x14ac:dyDescent="0.25">
      <c r="A74" s="24" t="s">
        <v>79</v>
      </c>
      <c r="B74" s="24" t="s">
        <v>181</v>
      </c>
      <c r="C74" s="19">
        <v>0</v>
      </c>
      <c r="D74" s="19"/>
      <c r="E74" s="19">
        <f t="shared" si="11"/>
        <v>0</v>
      </c>
      <c r="F74" s="19"/>
      <c r="G74" s="19"/>
      <c r="H74" s="19"/>
      <c r="I74" s="19"/>
      <c r="J74" s="19"/>
      <c r="K74" s="19"/>
      <c r="L74" s="19"/>
      <c r="M74" s="19"/>
      <c r="N74" s="19"/>
      <c r="O74" s="19"/>
      <c r="P74" s="19"/>
      <c r="Q74" s="19"/>
      <c r="R74" s="19">
        <f t="shared" si="12"/>
        <v>0</v>
      </c>
      <c r="S74" s="19">
        <f t="shared" si="13"/>
        <v>0</v>
      </c>
      <c r="T74" s="24"/>
      <c r="U74" s="24"/>
      <c r="V74" s="24"/>
    </row>
    <row r="75" spans="1:22" x14ac:dyDescent="0.25">
      <c r="A75" s="26" t="s">
        <v>80</v>
      </c>
      <c r="B75" s="26" t="s">
        <v>182</v>
      </c>
      <c r="C75" s="21">
        <v>0</v>
      </c>
      <c r="D75" s="21"/>
      <c r="E75" s="21">
        <f>+C75+D75</f>
        <v>0</v>
      </c>
      <c r="F75" s="21"/>
      <c r="G75" s="21"/>
      <c r="H75" s="21"/>
      <c r="I75" s="21"/>
      <c r="J75" s="21"/>
      <c r="K75" s="21"/>
      <c r="L75" s="21"/>
      <c r="M75" s="21"/>
      <c r="N75" s="21"/>
      <c r="O75" s="21"/>
      <c r="P75" s="21"/>
      <c r="Q75" s="21"/>
      <c r="R75" s="19">
        <f t="shared" si="12"/>
        <v>0</v>
      </c>
      <c r="S75" s="19">
        <f t="shared" si="13"/>
        <v>0</v>
      </c>
      <c r="T75" s="24"/>
      <c r="U75" s="24"/>
      <c r="V75" s="24"/>
    </row>
    <row r="76" spans="1:22" x14ac:dyDescent="0.25">
      <c r="A76" s="30" t="s">
        <v>81</v>
      </c>
      <c r="B76" s="30" t="s">
        <v>320</v>
      </c>
      <c r="C76" s="20">
        <v>0</v>
      </c>
      <c r="D76" s="20">
        <v>1800</v>
      </c>
      <c r="E76" s="20">
        <f>+C76+D76</f>
        <v>1800</v>
      </c>
      <c r="F76" s="20">
        <v>1800</v>
      </c>
      <c r="G76" s="20"/>
      <c r="H76" s="20"/>
      <c r="I76" s="20"/>
      <c r="J76" s="20"/>
      <c r="K76" s="20"/>
      <c r="L76" s="20"/>
      <c r="M76" s="20"/>
      <c r="N76" s="20"/>
      <c r="O76" s="20"/>
      <c r="P76" s="20"/>
      <c r="Q76" s="20"/>
      <c r="R76" s="20">
        <f t="shared" si="12"/>
        <v>1800</v>
      </c>
      <c r="S76" s="20">
        <f t="shared" si="13"/>
        <v>0</v>
      </c>
      <c r="T76" s="24"/>
      <c r="U76" s="24"/>
      <c r="V76" s="24"/>
    </row>
    <row r="77" spans="1:22" x14ac:dyDescent="0.25">
      <c r="A77" s="6" t="s">
        <v>250</v>
      </c>
      <c r="B77" s="6"/>
      <c r="C77" s="17">
        <f>SUM(C47:C76)</f>
        <v>28171626</v>
      </c>
      <c r="D77" s="17">
        <f>SUM(D47:D76)</f>
        <v>1800</v>
      </c>
      <c r="E77" s="17">
        <f>SUM(E47:E76)</f>
        <v>28173426</v>
      </c>
      <c r="F77" s="17">
        <f>SUM(F47:F76)</f>
        <v>2653164.58</v>
      </c>
      <c r="G77" s="17">
        <f>SUM(G47:G75)</f>
        <v>2190110.38</v>
      </c>
      <c r="H77" s="17">
        <f>SUM(H47:H75)</f>
        <v>2377661.4300000002</v>
      </c>
      <c r="I77" s="17">
        <f t="shared" ref="I77:R77" si="14">SUM(I47:I76)</f>
        <v>2611156.5299999998</v>
      </c>
      <c r="J77" s="17">
        <f t="shared" ref="J77" si="15">SUM(J47:J76)</f>
        <v>915133.84</v>
      </c>
      <c r="K77" s="17">
        <f t="shared" si="14"/>
        <v>0</v>
      </c>
      <c r="L77" s="17">
        <f t="shared" si="14"/>
        <v>0</v>
      </c>
      <c r="M77" s="17">
        <f t="shared" si="14"/>
        <v>0</v>
      </c>
      <c r="N77" s="17">
        <f t="shared" si="14"/>
        <v>0</v>
      </c>
      <c r="O77" s="17">
        <f t="shared" si="14"/>
        <v>0</v>
      </c>
      <c r="P77" s="17">
        <f t="shared" si="14"/>
        <v>0</v>
      </c>
      <c r="Q77" s="17">
        <f t="shared" si="14"/>
        <v>0</v>
      </c>
      <c r="R77" s="17">
        <f t="shared" si="14"/>
        <v>10747226.76</v>
      </c>
      <c r="S77" s="17">
        <f>SUM(S47:S76)</f>
        <v>17426199.240000002</v>
      </c>
      <c r="T77" s="24"/>
      <c r="U77" s="24"/>
      <c r="V77" s="24"/>
    </row>
    <row r="78" spans="1:22" x14ac:dyDescent="0.25">
      <c r="A78" s="6"/>
      <c r="B78" s="6"/>
      <c r="C78" s="17"/>
      <c r="D78" s="17"/>
      <c r="E78" s="17"/>
      <c r="F78" s="17"/>
      <c r="G78" s="17"/>
      <c r="H78" s="17"/>
      <c r="I78" s="17"/>
      <c r="J78" s="17"/>
      <c r="K78" s="17"/>
      <c r="L78" s="17"/>
      <c r="M78" s="17"/>
      <c r="N78" s="17"/>
      <c r="O78" s="17"/>
      <c r="P78" s="17"/>
      <c r="Q78" s="17"/>
      <c r="R78" s="17"/>
      <c r="S78" s="17"/>
      <c r="T78" s="24"/>
      <c r="U78" s="24"/>
      <c r="V78" s="24"/>
    </row>
    <row r="79" spans="1:22" x14ac:dyDescent="0.25">
      <c r="A79" s="30" t="s">
        <v>94</v>
      </c>
      <c r="B79" s="30" t="s">
        <v>194</v>
      </c>
      <c r="C79" s="28">
        <v>200000000</v>
      </c>
      <c r="D79" s="28"/>
      <c r="E79" s="28">
        <f t="shared" ref="E79" si="16">+C79+D79</f>
        <v>200000000</v>
      </c>
      <c r="F79" s="27"/>
      <c r="G79" s="27"/>
      <c r="H79" s="27"/>
      <c r="I79" s="27"/>
      <c r="J79" s="27"/>
      <c r="K79" s="27"/>
      <c r="L79" s="27"/>
      <c r="M79" s="27"/>
      <c r="N79" s="28"/>
      <c r="O79" s="27"/>
      <c r="P79" s="27"/>
      <c r="Q79" s="27"/>
      <c r="R79" s="28">
        <f>SUM(F79:Q79)</f>
        <v>0</v>
      </c>
      <c r="S79" s="28">
        <f>+E79-R79</f>
        <v>200000000</v>
      </c>
      <c r="T79" s="24"/>
      <c r="U79" s="24"/>
      <c r="V79" s="24"/>
    </row>
    <row r="80" spans="1:22" x14ac:dyDescent="0.25">
      <c r="A80" s="6" t="s">
        <v>251</v>
      </c>
      <c r="B80" s="6"/>
      <c r="C80" s="17">
        <f>SUM(C79)</f>
        <v>200000000</v>
      </c>
      <c r="D80" s="17">
        <f>SUM(D79)</f>
        <v>0</v>
      </c>
      <c r="E80" s="17">
        <f>SUM(E79)</f>
        <v>200000000</v>
      </c>
      <c r="F80" s="17"/>
      <c r="G80" s="17"/>
      <c r="H80" s="17"/>
      <c r="I80" s="17"/>
      <c r="J80" s="17"/>
      <c r="K80" s="17"/>
      <c r="L80" s="17"/>
      <c r="M80" s="17"/>
      <c r="N80" s="17">
        <f>SUM(N79)</f>
        <v>0</v>
      </c>
      <c r="O80" s="17">
        <f>SUM(O79)</f>
        <v>0</v>
      </c>
      <c r="P80" s="17"/>
      <c r="Q80" s="17"/>
      <c r="R80" s="17">
        <f>SUM(R79)</f>
        <v>0</v>
      </c>
      <c r="S80" s="17">
        <f>SUM(S79)</f>
        <v>200000000</v>
      </c>
      <c r="T80" s="24"/>
      <c r="U80" s="24"/>
      <c r="V80" s="24"/>
    </row>
    <row r="81" spans="1:25" x14ac:dyDescent="0.25">
      <c r="A81" s="6"/>
      <c r="B81" s="6"/>
      <c r="C81" s="17"/>
      <c r="D81" s="17"/>
      <c r="E81" s="17"/>
      <c r="F81" s="17"/>
      <c r="G81" s="17"/>
      <c r="H81" s="17"/>
      <c r="I81" s="17"/>
      <c r="J81" s="17"/>
      <c r="K81" s="17"/>
      <c r="L81" s="17"/>
      <c r="M81" s="17"/>
      <c r="N81" s="17"/>
      <c r="O81" s="17"/>
      <c r="P81" s="17"/>
      <c r="Q81" s="17"/>
      <c r="R81" s="17"/>
      <c r="S81" s="17"/>
      <c r="T81" s="24"/>
      <c r="U81" s="24"/>
      <c r="V81" s="24"/>
    </row>
    <row r="82" spans="1:25" x14ac:dyDescent="0.25">
      <c r="A82" s="24"/>
      <c r="B82" s="24"/>
      <c r="C82" s="19"/>
      <c r="D82" s="24"/>
      <c r="E82" s="24"/>
      <c r="F82" s="19"/>
      <c r="G82" s="19"/>
      <c r="H82" s="19"/>
      <c r="I82" s="19"/>
      <c r="J82" s="19"/>
      <c r="K82" s="19"/>
      <c r="L82" s="19"/>
      <c r="M82" s="19"/>
      <c r="N82" s="19"/>
      <c r="O82" s="19"/>
      <c r="P82" s="19"/>
      <c r="Q82" s="19"/>
      <c r="R82" s="24"/>
      <c r="S82" s="24"/>
      <c r="T82" s="24"/>
      <c r="U82" s="24"/>
      <c r="V82" s="24"/>
    </row>
    <row r="83" spans="1:25" x14ac:dyDescent="0.25">
      <c r="A83" s="30"/>
      <c r="B83" s="30"/>
      <c r="C83" s="20"/>
      <c r="D83" s="24"/>
      <c r="E83" s="24"/>
      <c r="F83" s="19"/>
      <c r="G83" s="19"/>
      <c r="H83" s="19"/>
      <c r="I83" s="19"/>
      <c r="J83" s="19"/>
      <c r="K83" s="19"/>
      <c r="L83" s="19"/>
      <c r="M83" s="19"/>
      <c r="N83" s="19"/>
      <c r="O83" s="19"/>
      <c r="P83" s="19"/>
      <c r="Q83" s="19"/>
      <c r="R83" s="24"/>
      <c r="S83" s="24"/>
      <c r="T83" s="24"/>
      <c r="U83" s="24"/>
      <c r="V83" s="24"/>
    </row>
    <row r="84" spans="1:25" ht="15.75" thickBot="1" x14ac:dyDescent="0.3">
      <c r="A84" s="13" t="s">
        <v>0</v>
      </c>
      <c r="B84" s="13"/>
      <c r="C84" s="14">
        <f>+C22+C45+C77+C80</f>
        <v>2573558554</v>
      </c>
      <c r="D84" s="14">
        <f>+D22+D45+D77+D80</f>
        <v>3.7252902984619141E-9</v>
      </c>
      <c r="E84" s="14">
        <f>+E22+E45+E77+E80</f>
        <v>2573558554</v>
      </c>
      <c r="F84" s="14">
        <f t="shared" ref="F84:Q84" si="17">+F22+F45+F77</f>
        <v>151606917.86000001</v>
      </c>
      <c r="G84" s="14">
        <f t="shared" si="17"/>
        <v>181458654.49000001</v>
      </c>
      <c r="H84" s="14">
        <f t="shared" si="17"/>
        <v>216478053.19999996</v>
      </c>
      <c r="I84" s="14">
        <f t="shared" si="17"/>
        <v>137887904.24000001</v>
      </c>
      <c r="J84" s="14">
        <f t="shared" ref="J84" si="18">+J22+J45+J77</f>
        <v>258759163.68000004</v>
      </c>
      <c r="K84" s="14">
        <f t="shared" si="17"/>
        <v>0</v>
      </c>
      <c r="L84" s="14">
        <f t="shared" si="17"/>
        <v>0</v>
      </c>
      <c r="M84" s="14">
        <f t="shared" si="17"/>
        <v>0</v>
      </c>
      <c r="N84" s="14">
        <f t="shared" si="17"/>
        <v>0</v>
      </c>
      <c r="O84" s="14">
        <f t="shared" si="17"/>
        <v>0</v>
      </c>
      <c r="P84" s="14">
        <f t="shared" si="17"/>
        <v>0</v>
      </c>
      <c r="Q84" s="14">
        <f t="shared" si="17"/>
        <v>0</v>
      </c>
      <c r="R84" s="14">
        <f>+R22+R45+R77+R80</f>
        <v>946190693.47000003</v>
      </c>
      <c r="S84" s="14">
        <f>+S22+S45+S77+S80</f>
        <v>1627367860.53</v>
      </c>
    </row>
    <row r="85" spans="1:25" ht="15.75" thickTop="1" x14ac:dyDescent="0.25">
      <c r="C85" s="1"/>
      <c r="D85" s="1"/>
      <c r="E85" s="1"/>
      <c r="F85" s="1"/>
      <c r="G85" s="1"/>
      <c r="H85" s="1"/>
      <c r="I85" s="1"/>
      <c r="J85" s="1"/>
      <c r="K85" s="1"/>
      <c r="L85" s="1"/>
      <c r="M85" s="1"/>
      <c r="N85" s="1"/>
      <c r="O85" s="1"/>
      <c r="P85" s="1"/>
      <c r="Q85" s="1"/>
      <c r="R85" s="1"/>
      <c r="S85" s="1"/>
      <c r="T85" s="1"/>
      <c r="U85" s="1"/>
      <c r="V85" s="1"/>
      <c r="W85" s="1"/>
      <c r="X85" s="1"/>
      <c r="Y85" s="1"/>
    </row>
    <row r="86" spans="1:25" x14ac:dyDescent="0.25">
      <c r="C86" s="1"/>
      <c r="D86" s="1"/>
      <c r="E86" s="1"/>
      <c r="F86" s="1"/>
      <c r="G86" s="1"/>
      <c r="H86" s="1"/>
      <c r="I86" s="1"/>
      <c r="J86" s="1"/>
      <c r="K86" s="1"/>
      <c r="L86" s="1"/>
      <c r="M86" s="1"/>
      <c r="N86" s="1"/>
      <c r="O86" s="1"/>
      <c r="P86" s="1"/>
      <c r="Q86" s="1"/>
      <c r="R86" s="1"/>
      <c r="S86" s="1"/>
      <c r="T86" s="1"/>
      <c r="U86" s="1"/>
      <c r="V86" s="1"/>
      <c r="W86" s="1"/>
      <c r="X86" s="1"/>
      <c r="Y86" s="1"/>
    </row>
    <row r="87" spans="1:25" x14ac:dyDescent="0.25">
      <c r="C87" s="3"/>
      <c r="F87" s="3"/>
      <c r="G87" s="3"/>
      <c r="H87" s="3"/>
      <c r="I87" s="3"/>
      <c r="J87" s="3"/>
      <c r="K87" s="3"/>
      <c r="L87" s="3"/>
      <c r="M87" s="3"/>
      <c r="N87" s="3"/>
      <c r="O87" s="3"/>
      <c r="P87" s="3"/>
      <c r="Q87" s="3"/>
      <c r="R87" s="3"/>
      <c r="S87" s="3"/>
    </row>
    <row r="88" spans="1:25" x14ac:dyDescent="0.25">
      <c r="C88" s="3"/>
      <c r="E88" s="3"/>
      <c r="F88" s="3"/>
      <c r="G88" s="3"/>
      <c r="H88" s="3"/>
      <c r="I88" s="3"/>
      <c r="J88" s="3"/>
      <c r="K88" s="3"/>
      <c r="L88" s="3"/>
      <c r="M88" s="3"/>
      <c r="N88" s="3"/>
      <c r="O88" s="3"/>
      <c r="P88" s="3"/>
      <c r="Q88" s="3"/>
      <c r="R88" s="3"/>
      <c r="S88" s="3"/>
      <c r="T88" s="3"/>
      <c r="U88" s="3"/>
      <c r="V88" s="3"/>
      <c r="W88" s="3"/>
      <c r="X88" s="3"/>
      <c r="Y88" s="3"/>
    </row>
    <row r="89" spans="1:25" x14ac:dyDescent="0.25">
      <c r="C89" s="1"/>
      <c r="M89" s="3"/>
    </row>
    <row r="90" spans="1:25" x14ac:dyDescent="0.25">
      <c r="C90" s="3"/>
    </row>
  </sheetData>
  <pageMargins left="0.70866141732283472" right="0.70866141732283472" top="0.74803149606299213" bottom="0.74803149606299213" header="0.31496062992125984" footer="0.31496062992125984"/>
  <pageSetup paperSize="5"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216"/>
  <sheetViews>
    <sheetView topLeftCell="A179" workbookViewId="0">
      <pane xSplit="2" topLeftCell="R1" activePane="topRight" state="frozen"/>
      <selection pane="topRight" activeCell="E196" sqref="E196:Y207"/>
    </sheetView>
  </sheetViews>
  <sheetFormatPr baseColWidth="10" defaultColWidth="11.42578125" defaultRowHeight="15" x14ac:dyDescent="0.25"/>
  <cols>
    <col min="1" max="1" width="44.42578125" customWidth="1"/>
    <col min="2" max="2" width="41.7109375" customWidth="1"/>
    <col min="3" max="3" width="24" customWidth="1"/>
    <col min="4" max="4" width="34" bestFit="1" customWidth="1"/>
    <col min="5" max="5" width="21.85546875" bestFit="1" customWidth="1"/>
    <col min="6" max="6" width="15.140625" bestFit="1" customWidth="1"/>
    <col min="7" max="10" width="15.140625" customWidth="1"/>
    <col min="11" max="15" width="15.140625" hidden="1" customWidth="1"/>
    <col min="16" max="17" width="15.85546875" hidden="1" customWidth="1"/>
    <col min="18" max="18" width="22.7109375" customWidth="1"/>
    <col min="19" max="19" width="26.5703125" customWidth="1"/>
    <col min="20" max="22" width="15.140625" bestFit="1" customWidth="1"/>
    <col min="23" max="23" width="18.85546875" bestFit="1" customWidth="1"/>
    <col min="24" max="24" width="24.85546875" bestFit="1" customWidth="1"/>
    <col min="25" max="25" width="19.140625" bestFit="1" customWidth="1"/>
  </cols>
  <sheetData>
    <row r="2" spans="1:25" x14ac:dyDescent="0.25">
      <c r="A2" s="2" t="s">
        <v>361</v>
      </c>
      <c r="B2" s="2"/>
      <c r="C2" s="2"/>
      <c r="D2" s="2"/>
      <c r="E2" s="2"/>
      <c r="F2" s="2"/>
      <c r="G2" s="2"/>
      <c r="H2" s="2"/>
      <c r="I2" s="2"/>
      <c r="J2" s="2"/>
      <c r="K2" s="2"/>
      <c r="L2" s="2"/>
      <c r="M2" s="2"/>
      <c r="N2" s="2"/>
      <c r="O2" s="2"/>
      <c r="P2" s="2"/>
      <c r="Q2" s="2"/>
      <c r="R2" s="2"/>
      <c r="S2" s="2"/>
      <c r="T2" s="2"/>
      <c r="U2" s="2"/>
      <c r="V2" s="2"/>
      <c r="W2" s="2"/>
      <c r="X2" s="2"/>
      <c r="Y2" s="2"/>
    </row>
    <row r="3" spans="1:25" x14ac:dyDescent="0.25">
      <c r="A3" s="2" t="s">
        <v>229</v>
      </c>
      <c r="B3" s="2"/>
      <c r="C3" s="2"/>
      <c r="D3" s="2"/>
      <c r="E3" s="2"/>
      <c r="F3" s="2"/>
      <c r="G3" s="2"/>
      <c r="H3" s="2"/>
      <c r="I3" s="2"/>
      <c r="J3" s="2"/>
      <c r="K3" s="2"/>
      <c r="L3" s="2"/>
      <c r="M3" s="2"/>
      <c r="N3" s="2"/>
      <c r="O3" s="2"/>
      <c r="P3" s="2"/>
      <c r="Q3" s="2"/>
      <c r="R3" s="2"/>
      <c r="S3" s="2"/>
      <c r="T3" s="2"/>
      <c r="U3" s="2"/>
      <c r="V3" s="2"/>
      <c r="W3" s="2"/>
      <c r="X3" s="2"/>
      <c r="Y3" s="2"/>
    </row>
    <row r="4" spans="1:25" x14ac:dyDescent="0.25">
      <c r="A4" s="2" t="s">
        <v>203</v>
      </c>
      <c r="B4" s="2"/>
      <c r="C4" s="2"/>
      <c r="D4" s="2"/>
      <c r="E4" s="2"/>
      <c r="F4" s="2"/>
      <c r="G4" s="2"/>
      <c r="H4" s="2"/>
      <c r="I4" s="2"/>
      <c r="J4" s="2"/>
      <c r="K4" s="2"/>
      <c r="L4" s="2"/>
      <c r="M4" s="2"/>
      <c r="N4" s="2"/>
      <c r="O4" s="2"/>
      <c r="P4" s="2"/>
      <c r="Q4" s="2"/>
      <c r="R4" s="2"/>
      <c r="S4" s="2"/>
      <c r="T4" s="2"/>
      <c r="U4" s="2"/>
      <c r="V4" s="2"/>
      <c r="W4" s="2"/>
      <c r="X4" s="2"/>
      <c r="Y4" s="2"/>
    </row>
    <row r="5" spans="1:25" x14ac:dyDescent="0.25">
      <c r="A5" s="2" t="s">
        <v>231</v>
      </c>
      <c r="B5" s="2"/>
      <c r="C5" s="2"/>
      <c r="D5" s="2"/>
      <c r="E5" s="2"/>
      <c r="F5" s="2"/>
      <c r="G5" s="2"/>
      <c r="H5" s="2"/>
      <c r="I5" s="2"/>
      <c r="J5" s="2"/>
      <c r="K5" s="2"/>
      <c r="L5" s="2"/>
      <c r="M5" s="2"/>
      <c r="N5" s="2"/>
      <c r="O5" s="2"/>
      <c r="P5" s="2"/>
      <c r="Q5" s="2"/>
      <c r="R5" s="2"/>
      <c r="S5" s="2"/>
      <c r="T5" s="2"/>
      <c r="U5" s="2"/>
      <c r="V5" s="2"/>
      <c r="W5" s="2"/>
      <c r="X5" s="2"/>
      <c r="Y5" s="2"/>
    </row>
    <row r="6" spans="1:25" x14ac:dyDescent="0.25">
      <c r="A6" s="10" t="s">
        <v>225</v>
      </c>
      <c r="B6" s="7" t="s">
        <v>53</v>
      </c>
      <c r="C6" s="7" t="s">
        <v>279</v>
      </c>
      <c r="D6" s="7" t="s">
        <v>276</v>
      </c>
      <c r="E6" s="7" t="s">
        <v>277</v>
      </c>
      <c r="F6" s="18" t="s">
        <v>278</v>
      </c>
      <c r="G6" s="18" t="s">
        <v>292</v>
      </c>
      <c r="H6" s="18" t="s">
        <v>297</v>
      </c>
      <c r="I6" s="18" t="s">
        <v>300</v>
      </c>
      <c r="J6" s="18" t="s">
        <v>315</v>
      </c>
      <c r="K6" s="18" t="s">
        <v>318</v>
      </c>
      <c r="L6" s="18" t="s">
        <v>326</v>
      </c>
      <c r="M6" s="18" t="s">
        <v>327</v>
      </c>
      <c r="N6" s="18" t="s">
        <v>328</v>
      </c>
      <c r="O6" s="18" t="s">
        <v>329</v>
      </c>
      <c r="P6" s="18" t="s">
        <v>330</v>
      </c>
      <c r="Q6" s="18" t="s">
        <v>331</v>
      </c>
      <c r="R6" s="7" t="s">
        <v>280</v>
      </c>
      <c r="S6" s="7" t="s">
        <v>281</v>
      </c>
    </row>
    <row r="7" spans="1:25" x14ac:dyDescent="0.25">
      <c r="A7" s="11"/>
      <c r="B7" s="8"/>
      <c r="C7" s="8"/>
      <c r="D7" s="8"/>
      <c r="E7" s="8"/>
      <c r="F7" s="8"/>
      <c r="G7" s="8"/>
      <c r="H7" s="8"/>
      <c r="I7" s="8"/>
      <c r="J7" s="8"/>
      <c r="K7" s="8"/>
      <c r="L7" s="8"/>
      <c r="M7" s="8"/>
      <c r="N7" s="8"/>
      <c r="O7" s="8"/>
      <c r="P7" s="8"/>
      <c r="Q7" s="8"/>
      <c r="R7" s="8"/>
      <c r="S7" s="8"/>
    </row>
    <row r="8" spans="1:25" x14ac:dyDescent="0.25">
      <c r="A8" s="12"/>
      <c r="B8" s="9"/>
      <c r="C8" s="9"/>
      <c r="D8" s="9"/>
      <c r="E8" s="9"/>
      <c r="F8" s="9"/>
      <c r="G8" s="9"/>
      <c r="H8" s="9"/>
      <c r="I8" s="9"/>
      <c r="J8" s="9"/>
      <c r="K8" s="9"/>
      <c r="L8" s="9"/>
      <c r="M8" s="9"/>
      <c r="N8" s="9"/>
      <c r="O8" s="9"/>
      <c r="P8" s="9"/>
      <c r="Q8" s="9"/>
      <c r="R8" s="9"/>
      <c r="S8" s="9"/>
    </row>
    <row r="10" spans="1:25" x14ac:dyDescent="0.25">
      <c r="A10" s="24"/>
      <c r="B10" s="24"/>
      <c r="C10" s="24"/>
      <c r="D10" s="24"/>
      <c r="E10" s="24"/>
      <c r="F10" s="24"/>
      <c r="G10" s="24"/>
      <c r="H10" s="24"/>
      <c r="I10" s="24"/>
      <c r="J10" s="24"/>
      <c r="K10" s="24"/>
      <c r="L10" s="24"/>
      <c r="M10" s="24"/>
      <c r="N10" s="24"/>
      <c r="O10" s="24"/>
      <c r="P10" s="24"/>
      <c r="Q10" s="24"/>
      <c r="R10" s="24"/>
      <c r="S10" s="24"/>
    </row>
    <row r="11" spans="1:25" x14ac:dyDescent="0.25">
      <c r="A11" s="24" t="s">
        <v>1</v>
      </c>
      <c r="B11" s="24" t="s">
        <v>105</v>
      </c>
      <c r="C11" s="19">
        <v>10300000</v>
      </c>
      <c r="D11" s="19">
        <f>-60438.15-48000</f>
        <v>-108438.15</v>
      </c>
      <c r="E11" s="19">
        <f t="shared" ref="E11:E24" si="0">+C11+D11</f>
        <v>10191561.85</v>
      </c>
      <c r="F11" s="19">
        <v>239741.54</v>
      </c>
      <c r="G11" s="19">
        <v>153459.20000000001</v>
      </c>
      <c r="H11" s="19">
        <v>79587.03</v>
      </c>
      <c r="I11" s="19">
        <v>93152.4</v>
      </c>
      <c r="J11" s="19">
        <v>146880.31</v>
      </c>
      <c r="K11" s="19"/>
      <c r="L11" s="19"/>
      <c r="M11" s="19"/>
      <c r="N11" s="19"/>
      <c r="O11" s="19"/>
      <c r="P11" s="19"/>
      <c r="Q11" s="19"/>
      <c r="R11" s="29">
        <f t="shared" ref="R11:R24" si="1">SUM(F11:Q11)</f>
        <v>712820.48</v>
      </c>
      <c r="S11" s="23">
        <f t="shared" ref="S11:S24" si="2">+E11-R11</f>
        <v>9478741.3699999992</v>
      </c>
    </row>
    <row r="12" spans="1:25" x14ac:dyDescent="0.25">
      <c r="A12" s="24" t="s">
        <v>2</v>
      </c>
      <c r="B12" s="24" t="s">
        <v>106</v>
      </c>
      <c r="C12" s="19">
        <v>513000</v>
      </c>
      <c r="D12" s="19"/>
      <c r="E12" s="19">
        <f t="shared" si="0"/>
        <v>513000</v>
      </c>
      <c r="F12" s="19"/>
      <c r="G12" s="19">
        <v>109500</v>
      </c>
      <c r="H12" s="19">
        <v>107250</v>
      </c>
      <c r="I12" s="19">
        <v>162700</v>
      </c>
      <c r="J12" s="19">
        <f>71500+1000</f>
        <v>72500</v>
      </c>
      <c r="K12" s="19"/>
      <c r="L12" s="19"/>
      <c r="M12" s="19"/>
      <c r="N12" s="19"/>
      <c r="O12" s="19"/>
      <c r="P12" s="19"/>
      <c r="Q12" s="19"/>
      <c r="R12" s="29">
        <f t="shared" si="1"/>
        <v>451950</v>
      </c>
      <c r="S12" s="23">
        <f t="shared" si="2"/>
        <v>61050</v>
      </c>
    </row>
    <row r="13" spans="1:25" x14ac:dyDescent="0.25">
      <c r="A13" s="24" t="s">
        <v>3</v>
      </c>
      <c r="B13" s="24" t="s">
        <v>107</v>
      </c>
      <c r="C13" s="19">
        <v>0</v>
      </c>
      <c r="D13" s="19">
        <v>60438.15</v>
      </c>
      <c r="E13" s="19">
        <f t="shared" si="0"/>
        <v>60438.15</v>
      </c>
      <c r="F13" s="19"/>
      <c r="G13" s="19"/>
      <c r="H13" s="19"/>
      <c r="I13" s="19"/>
      <c r="J13" s="19">
        <v>60438.15</v>
      </c>
      <c r="K13" s="19"/>
      <c r="L13" s="19"/>
      <c r="M13" s="19"/>
      <c r="N13" s="19"/>
      <c r="O13" s="19"/>
      <c r="P13" s="19"/>
      <c r="Q13" s="19"/>
      <c r="R13" s="29">
        <f t="shared" si="1"/>
        <v>60438.15</v>
      </c>
      <c r="S13" s="23">
        <f t="shared" si="2"/>
        <v>0</v>
      </c>
    </row>
    <row r="14" spans="1:25" x14ac:dyDescent="0.25">
      <c r="A14" s="24" t="s">
        <v>4</v>
      </c>
      <c r="B14" s="24" t="s">
        <v>226</v>
      </c>
      <c r="C14" s="19">
        <v>10000000</v>
      </c>
      <c r="D14" s="19"/>
      <c r="E14" s="19">
        <f t="shared" si="0"/>
        <v>10000000</v>
      </c>
      <c r="F14" s="19">
        <v>977632.96</v>
      </c>
      <c r="G14" s="19">
        <v>82835.39</v>
      </c>
      <c r="H14" s="19">
        <v>52494.59</v>
      </c>
      <c r="I14" s="19">
        <v>2800</v>
      </c>
      <c r="J14" s="19">
        <v>147410.48000000001</v>
      </c>
      <c r="K14" s="19"/>
      <c r="L14" s="19"/>
      <c r="M14" s="19"/>
      <c r="N14" s="19"/>
      <c r="O14" s="19"/>
      <c r="P14" s="19"/>
      <c r="Q14" s="19"/>
      <c r="R14" s="29">
        <f t="shared" si="1"/>
        <v>1263173.42</v>
      </c>
      <c r="S14" s="23">
        <f t="shared" si="2"/>
        <v>8736826.5800000001</v>
      </c>
    </row>
    <row r="15" spans="1:25" x14ac:dyDescent="0.25">
      <c r="A15" s="24" t="s">
        <v>5</v>
      </c>
      <c r="B15" s="24" t="s">
        <v>232</v>
      </c>
      <c r="C15" s="19">
        <v>100000000</v>
      </c>
      <c r="D15" s="19"/>
      <c r="E15" s="19">
        <f t="shared" si="0"/>
        <v>100000000</v>
      </c>
      <c r="F15" s="19">
        <v>13318426.6</v>
      </c>
      <c r="G15" s="19">
        <v>3369657.73</v>
      </c>
      <c r="H15" s="19">
        <v>17183369.960000001</v>
      </c>
      <c r="I15" s="19">
        <v>7747759.7300000004</v>
      </c>
      <c r="J15" s="19">
        <v>8660866.9700000007</v>
      </c>
      <c r="K15" s="19"/>
      <c r="L15" s="19"/>
      <c r="M15" s="19"/>
      <c r="N15" s="19"/>
      <c r="O15" s="19"/>
      <c r="P15" s="19"/>
      <c r="Q15" s="19"/>
      <c r="R15" s="29">
        <f t="shared" si="1"/>
        <v>50280080.989999995</v>
      </c>
      <c r="S15" s="23">
        <f t="shared" si="2"/>
        <v>49719919.010000005</v>
      </c>
    </row>
    <row r="16" spans="1:25" x14ac:dyDescent="0.25">
      <c r="A16" s="24" t="s">
        <v>6</v>
      </c>
      <c r="B16" s="24" t="s">
        <v>108</v>
      </c>
      <c r="C16" s="19">
        <v>20000000</v>
      </c>
      <c r="D16" s="19"/>
      <c r="E16" s="19">
        <f t="shared" si="0"/>
        <v>20000000</v>
      </c>
      <c r="F16" s="19">
        <v>1064481.51</v>
      </c>
      <c r="G16" s="19">
        <v>358154.12</v>
      </c>
      <c r="H16" s="19">
        <v>1124022.1599999999</v>
      </c>
      <c r="I16" s="19">
        <v>903617.75</v>
      </c>
      <c r="J16" s="19">
        <v>1317453.5900000001</v>
      </c>
      <c r="K16" s="19"/>
      <c r="L16" s="19"/>
      <c r="M16" s="19"/>
      <c r="N16" s="19"/>
      <c r="O16" s="19"/>
      <c r="P16" s="19"/>
      <c r="Q16" s="19"/>
      <c r="R16" s="29">
        <f t="shared" si="1"/>
        <v>4767729.13</v>
      </c>
      <c r="S16" s="23">
        <f t="shared" si="2"/>
        <v>15232270.870000001</v>
      </c>
    </row>
    <row r="17" spans="1:19" x14ac:dyDescent="0.25">
      <c r="A17" s="24" t="s">
        <v>282</v>
      </c>
      <c r="B17" s="24" t="s">
        <v>283</v>
      </c>
      <c r="C17" s="19">
        <v>58044476</v>
      </c>
      <c r="D17" s="19"/>
      <c r="E17" s="19">
        <f t="shared" si="0"/>
        <v>58044476</v>
      </c>
      <c r="F17" s="19">
        <v>3021528.66</v>
      </c>
      <c r="G17" s="19">
        <v>4101674.81</v>
      </c>
      <c r="H17" s="19">
        <v>4379888.5599999996</v>
      </c>
      <c r="I17" s="19">
        <v>2998183.56</v>
      </c>
      <c r="J17" s="19">
        <v>3006518.42</v>
      </c>
      <c r="K17" s="19"/>
      <c r="L17" s="19"/>
      <c r="M17" s="19"/>
      <c r="N17" s="19"/>
      <c r="O17" s="19"/>
      <c r="P17" s="19"/>
      <c r="Q17" s="19"/>
      <c r="R17" s="29">
        <f t="shared" si="1"/>
        <v>17507794.010000002</v>
      </c>
      <c r="S17" s="23">
        <f t="shared" si="2"/>
        <v>40536681.989999995</v>
      </c>
    </row>
    <row r="18" spans="1:19" x14ac:dyDescent="0.25">
      <c r="A18" s="24" t="s">
        <v>7</v>
      </c>
      <c r="B18" s="24" t="s">
        <v>109</v>
      </c>
      <c r="C18" s="19">
        <v>30000000</v>
      </c>
      <c r="D18" s="19"/>
      <c r="E18" s="19">
        <f t="shared" si="0"/>
        <v>30000000</v>
      </c>
      <c r="F18" s="19">
        <f>785850.6+1229692.61</f>
        <v>2015543.21</v>
      </c>
      <c r="G18" s="19">
        <f>738404.28+1371136.51</f>
        <v>2109540.79</v>
      </c>
      <c r="H18" s="19">
        <v>2788397.81</v>
      </c>
      <c r="I18" s="19">
        <f>1073103.34+1465684.7</f>
        <v>2538788.04</v>
      </c>
      <c r="J18" s="19">
        <f>825498.91+1597783.77</f>
        <v>2423282.6800000002</v>
      </c>
      <c r="K18" s="19"/>
      <c r="L18" s="19"/>
      <c r="M18" s="19"/>
      <c r="N18" s="19"/>
      <c r="O18" s="19"/>
      <c r="P18" s="19"/>
      <c r="Q18" s="19"/>
      <c r="R18" s="29">
        <f t="shared" si="1"/>
        <v>11875552.530000001</v>
      </c>
      <c r="S18" s="23">
        <f t="shared" si="2"/>
        <v>18124447.469999999</v>
      </c>
    </row>
    <row r="19" spans="1:19" x14ac:dyDescent="0.25">
      <c r="A19" s="24" t="s">
        <v>347</v>
      </c>
      <c r="B19" s="24" t="s">
        <v>348</v>
      </c>
      <c r="C19" s="19">
        <v>17100000</v>
      </c>
      <c r="D19" s="19"/>
      <c r="E19" s="19">
        <f t="shared" si="0"/>
        <v>17100000</v>
      </c>
      <c r="F19" s="19">
        <v>1281122.26</v>
      </c>
      <c r="G19" s="19">
        <v>1281122.26</v>
      </c>
      <c r="H19" s="19">
        <v>1281122.26</v>
      </c>
      <c r="I19" s="19">
        <v>1281122.26</v>
      </c>
      <c r="J19" s="19">
        <v>1355189.35</v>
      </c>
      <c r="K19" s="19"/>
      <c r="L19" s="19"/>
      <c r="M19" s="19"/>
      <c r="N19" s="19"/>
      <c r="O19" s="19"/>
      <c r="P19" s="19"/>
      <c r="Q19" s="19"/>
      <c r="R19" s="29">
        <f t="shared" si="1"/>
        <v>6479678.3900000006</v>
      </c>
      <c r="S19" s="23">
        <f t="shared" si="2"/>
        <v>10620321.609999999</v>
      </c>
    </row>
    <row r="20" spans="1:19" x14ac:dyDescent="0.25">
      <c r="A20" s="24" t="s">
        <v>8</v>
      </c>
      <c r="B20" s="24" t="s">
        <v>110</v>
      </c>
      <c r="C20" s="19">
        <v>30000000</v>
      </c>
      <c r="D20" s="19"/>
      <c r="E20" s="19">
        <f t="shared" si="0"/>
        <v>30000000</v>
      </c>
      <c r="F20" s="19"/>
      <c r="G20" s="19"/>
      <c r="H20" s="19"/>
      <c r="I20" s="19">
        <v>0</v>
      </c>
      <c r="J20" s="19">
        <v>0</v>
      </c>
      <c r="K20" s="19"/>
      <c r="L20" s="19"/>
      <c r="M20" s="19"/>
      <c r="N20" s="19"/>
      <c r="O20" s="19"/>
      <c r="P20" s="19"/>
      <c r="Q20" s="19"/>
      <c r="R20" s="29">
        <f t="shared" si="1"/>
        <v>0</v>
      </c>
      <c r="S20" s="23">
        <f t="shared" si="2"/>
        <v>30000000</v>
      </c>
    </row>
    <row r="21" spans="1:19" x14ac:dyDescent="0.25">
      <c r="A21" s="24" t="s">
        <v>9</v>
      </c>
      <c r="B21" s="24" t="s">
        <v>111</v>
      </c>
      <c r="C21" s="19">
        <v>381082230</v>
      </c>
      <c r="D21" s="19"/>
      <c r="E21" s="19">
        <f t="shared" si="0"/>
        <v>381082230</v>
      </c>
      <c r="F21" s="19">
        <v>70632103.150000006</v>
      </c>
      <c r="G21" s="19">
        <v>96000</v>
      </c>
      <c r="H21" s="19"/>
      <c r="I21" s="19">
        <v>24677972.48</v>
      </c>
      <c r="J21" s="19">
        <v>95000</v>
      </c>
      <c r="K21" s="19"/>
      <c r="L21" s="19"/>
      <c r="M21" s="19"/>
      <c r="N21" s="19"/>
      <c r="O21" s="19"/>
      <c r="P21" s="19"/>
      <c r="Q21" s="19"/>
      <c r="R21" s="29">
        <f t="shared" si="1"/>
        <v>95501075.63000001</v>
      </c>
      <c r="S21" s="23">
        <f t="shared" si="2"/>
        <v>285581154.37</v>
      </c>
    </row>
    <row r="22" spans="1:19" x14ac:dyDescent="0.25">
      <c r="A22" s="24" t="s">
        <v>223</v>
      </c>
      <c r="B22" s="24" t="s">
        <v>224</v>
      </c>
      <c r="C22" s="19">
        <v>70000000</v>
      </c>
      <c r="D22" s="19"/>
      <c r="E22" s="19">
        <f t="shared" si="0"/>
        <v>70000000</v>
      </c>
      <c r="F22" s="19">
        <v>408837.98</v>
      </c>
      <c r="G22" s="19">
        <v>171835</v>
      </c>
      <c r="H22" s="19">
        <f>43309.7+2047340.39</f>
        <v>2090650.0899999999</v>
      </c>
      <c r="I22" s="19">
        <v>849626.93</v>
      </c>
      <c r="J22" s="19">
        <v>327242.86</v>
      </c>
      <c r="K22" s="19"/>
      <c r="L22" s="19"/>
      <c r="M22" s="19"/>
      <c r="N22" s="19"/>
      <c r="O22" s="19"/>
      <c r="P22" s="19"/>
      <c r="Q22" s="19"/>
      <c r="R22" s="29">
        <f t="shared" si="1"/>
        <v>3848192.86</v>
      </c>
      <c r="S22" s="23">
        <f t="shared" si="2"/>
        <v>66151807.140000001</v>
      </c>
    </row>
    <row r="23" spans="1:19" x14ac:dyDescent="0.25">
      <c r="A23" s="24" t="s">
        <v>209</v>
      </c>
      <c r="B23" s="24" t="s">
        <v>210</v>
      </c>
      <c r="C23" s="19">
        <v>250000</v>
      </c>
      <c r="D23" s="19">
        <v>48000</v>
      </c>
      <c r="E23" s="19">
        <f t="shared" si="0"/>
        <v>298000</v>
      </c>
      <c r="F23" s="19"/>
      <c r="G23" s="19">
        <v>77000</v>
      </c>
      <c r="H23" s="19">
        <v>66000</v>
      </c>
      <c r="I23" s="19">
        <v>80000</v>
      </c>
      <c r="J23" s="19">
        <v>75000</v>
      </c>
      <c r="K23" s="19"/>
      <c r="L23" s="19"/>
      <c r="M23" s="19"/>
      <c r="N23" s="19"/>
      <c r="O23" s="19"/>
      <c r="P23" s="19"/>
      <c r="Q23" s="19"/>
      <c r="R23" s="29">
        <f t="shared" si="1"/>
        <v>298000</v>
      </c>
      <c r="S23" s="23">
        <f t="shared" si="2"/>
        <v>0</v>
      </c>
    </row>
    <row r="24" spans="1:19" x14ac:dyDescent="0.25">
      <c r="A24" s="30" t="s">
        <v>11</v>
      </c>
      <c r="B24" s="30" t="s">
        <v>113</v>
      </c>
      <c r="C24" s="20">
        <v>141781583</v>
      </c>
      <c r="D24" s="20"/>
      <c r="E24" s="20">
        <f t="shared" si="0"/>
        <v>141781583</v>
      </c>
      <c r="F24" s="20">
        <v>96350</v>
      </c>
      <c r="G24" s="20"/>
      <c r="H24" s="20"/>
      <c r="I24" s="20"/>
      <c r="J24" s="20">
        <v>10500</v>
      </c>
      <c r="K24" s="20"/>
      <c r="L24" s="20"/>
      <c r="M24" s="20"/>
      <c r="N24" s="20"/>
      <c r="O24" s="20"/>
      <c r="P24" s="20"/>
      <c r="Q24" s="20"/>
      <c r="R24" s="25">
        <f t="shared" si="1"/>
        <v>106850</v>
      </c>
      <c r="S24" s="25">
        <f t="shared" si="2"/>
        <v>141674733</v>
      </c>
    </row>
    <row r="25" spans="1:19" x14ac:dyDescent="0.25">
      <c r="A25" s="6" t="s">
        <v>248</v>
      </c>
      <c r="B25" s="6"/>
      <c r="C25" s="17">
        <f t="shared" ref="C25:S25" si="3">SUM(C11:C24)</f>
        <v>869071289</v>
      </c>
      <c r="D25" s="17">
        <f t="shared" si="3"/>
        <v>0</v>
      </c>
      <c r="E25" s="17">
        <f t="shared" si="3"/>
        <v>869071289</v>
      </c>
      <c r="F25" s="17">
        <f t="shared" si="3"/>
        <v>93055767.87000002</v>
      </c>
      <c r="G25" s="17">
        <f t="shared" si="3"/>
        <v>11910779.299999999</v>
      </c>
      <c r="H25" s="17">
        <f t="shared" si="3"/>
        <v>29152782.460000001</v>
      </c>
      <c r="I25" s="17">
        <f t="shared" si="3"/>
        <v>41335723.149999999</v>
      </c>
      <c r="J25" s="17">
        <f t="shared" ref="J25" si="4">SUM(J11:J24)</f>
        <v>17698282.809999999</v>
      </c>
      <c r="K25" s="17">
        <f t="shared" si="3"/>
        <v>0</v>
      </c>
      <c r="L25" s="17">
        <f t="shared" si="3"/>
        <v>0</v>
      </c>
      <c r="M25" s="17">
        <f t="shared" si="3"/>
        <v>0</v>
      </c>
      <c r="N25" s="17">
        <f t="shared" si="3"/>
        <v>0</v>
      </c>
      <c r="O25" s="17">
        <f t="shared" si="3"/>
        <v>0</v>
      </c>
      <c r="P25" s="17">
        <f t="shared" si="3"/>
        <v>0</v>
      </c>
      <c r="Q25" s="17">
        <f t="shared" si="3"/>
        <v>0</v>
      </c>
      <c r="R25" s="17">
        <f t="shared" si="3"/>
        <v>193153335.59000003</v>
      </c>
      <c r="S25" s="17">
        <f t="shared" si="3"/>
        <v>675917953.41000009</v>
      </c>
    </row>
    <row r="26" spans="1:19" x14ac:dyDescent="0.25">
      <c r="A26" s="24"/>
      <c r="B26" s="24"/>
      <c r="C26" s="19"/>
      <c r="D26" s="19"/>
      <c r="E26" s="19"/>
      <c r="F26" s="19"/>
      <c r="G26" s="19"/>
      <c r="H26" s="19"/>
      <c r="I26" s="19"/>
      <c r="J26" s="19"/>
      <c r="K26" s="19"/>
      <c r="L26" s="19"/>
      <c r="M26" s="19"/>
      <c r="N26" s="19"/>
      <c r="O26" s="19"/>
      <c r="P26" s="19"/>
      <c r="Q26" s="19"/>
      <c r="R26" s="24"/>
      <c r="S26" s="23"/>
    </row>
    <row r="27" spans="1:19" x14ac:dyDescent="0.25">
      <c r="A27" s="24"/>
      <c r="B27" s="24"/>
      <c r="C27" s="19"/>
      <c r="D27" s="19"/>
      <c r="E27" s="19"/>
      <c r="F27" s="19"/>
      <c r="G27" s="19"/>
      <c r="H27" s="19"/>
      <c r="I27" s="19"/>
      <c r="J27" s="19"/>
      <c r="K27" s="19">
        <f>+K11+K12+K14+K21+K23+K24</f>
        <v>0</v>
      </c>
      <c r="L27" s="19">
        <f>+L11+L12+L14+L21+L23+L24</f>
        <v>0</v>
      </c>
      <c r="M27" s="19"/>
      <c r="N27" s="19"/>
      <c r="O27" s="19"/>
      <c r="P27" s="19"/>
      <c r="Q27" s="19"/>
      <c r="R27" s="24"/>
      <c r="S27" s="24"/>
    </row>
    <row r="28" spans="1:19" x14ac:dyDescent="0.25">
      <c r="A28" s="24" t="s">
        <v>16</v>
      </c>
      <c r="B28" s="24" t="s">
        <v>117</v>
      </c>
      <c r="C28" s="19">
        <v>949100</v>
      </c>
      <c r="D28" s="19">
        <v>-11965</v>
      </c>
      <c r="E28" s="19">
        <f t="shared" ref="E28:E59" si="5">+C28+D28</f>
        <v>937135</v>
      </c>
      <c r="F28" s="19">
        <v>15970.11</v>
      </c>
      <c r="G28" s="19">
        <f>3000.34+1784.25</f>
        <v>4784.59</v>
      </c>
      <c r="H28" s="19">
        <v>3369.76</v>
      </c>
      <c r="I28" s="19">
        <f>145.1+21.35</f>
        <v>166.45</v>
      </c>
      <c r="J28" s="19">
        <v>3009.07</v>
      </c>
      <c r="K28" s="19"/>
      <c r="L28" s="19"/>
      <c r="M28" s="19"/>
      <c r="N28" s="19"/>
      <c r="O28" s="19"/>
      <c r="P28" s="19"/>
      <c r="Q28" s="19"/>
      <c r="R28" s="19">
        <f t="shared" ref="R28:R59" si="6">SUM(F28:Q28)</f>
        <v>27299.98</v>
      </c>
      <c r="S28" s="19">
        <f t="shared" ref="S28:S59" si="7">+E28-R28</f>
        <v>909835.02</v>
      </c>
    </row>
    <row r="29" spans="1:19" x14ac:dyDescent="0.25">
      <c r="A29" s="24" t="s">
        <v>17</v>
      </c>
      <c r="B29" s="24" t="s">
        <v>118</v>
      </c>
      <c r="C29" s="19">
        <v>35000000</v>
      </c>
      <c r="D29" s="19"/>
      <c r="E29" s="19">
        <f t="shared" si="5"/>
        <v>35000000</v>
      </c>
      <c r="F29" s="19">
        <f>1600595.23+14899.68</f>
        <v>1615494.91</v>
      </c>
      <c r="G29" s="19">
        <f>2320030.31+21228.78</f>
        <v>2341259.09</v>
      </c>
      <c r="H29" s="19">
        <v>1750311.54</v>
      </c>
      <c r="I29" s="19">
        <f>1611519.6+28999.2</f>
        <v>1640518.8</v>
      </c>
      <c r="J29" s="19">
        <f>800614.93+70908.44</f>
        <v>871523.37000000011</v>
      </c>
      <c r="K29" s="19"/>
      <c r="L29" s="19"/>
      <c r="M29" s="19"/>
      <c r="N29" s="19"/>
      <c r="O29" s="19"/>
      <c r="P29" s="19"/>
      <c r="Q29" s="19"/>
      <c r="R29" s="19">
        <f t="shared" si="6"/>
        <v>8219107.71</v>
      </c>
      <c r="S29" s="19">
        <f t="shared" si="7"/>
        <v>26780892.289999999</v>
      </c>
    </row>
    <row r="30" spans="1:19" x14ac:dyDescent="0.25">
      <c r="A30" s="24" t="s">
        <v>18</v>
      </c>
      <c r="B30" s="24" t="s">
        <v>119</v>
      </c>
      <c r="C30" s="19">
        <v>5000</v>
      </c>
      <c r="D30" s="19">
        <f>10486.49+6190+11965</f>
        <v>28641.489999999998</v>
      </c>
      <c r="E30" s="19">
        <f t="shared" si="5"/>
        <v>33641.49</v>
      </c>
      <c r="F30" s="19">
        <v>15486.49</v>
      </c>
      <c r="G30" s="19"/>
      <c r="H30" s="19"/>
      <c r="I30" s="19">
        <v>6190</v>
      </c>
      <c r="J30" s="19">
        <f>10790+1175</f>
        <v>11965</v>
      </c>
      <c r="K30" s="19"/>
      <c r="L30" s="19"/>
      <c r="M30" s="19"/>
      <c r="N30" s="19"/>
      <c r="O30" s="19"/>
      <c r="P30" s="19"/>
      <c r="Q30" s="19"/>
      <c r="R30" s="19">
        <f t="shared" si="6"/>
        <v>33641.49</v>
      </c>
      <c r="S30" s="19">
        <f t="shared" si="7"/>
        <v>0</v>
      </c>
    </row>
    <row r="31" spans="1:19" x14ac:dyDescent="0.25">
      <c r="A31" s="24" t="s">
        <v>19</v>
      </c>
      <c r="B31" s="24" t="s">
        <v>120</v>
      </c>
      <c r="C31" s="19">
        <v>28000000</v>
      </c>
      <c r="D31" s="19">
        <v>6711362.04</v>
      </c>
      <c r="E31" s="19">
        <f t="shared" si="5"/>
        <v>34711362.039999999</v>
      </c>
      <c r="F31" s="19">
        <v>3528183.07</v>
      </c>
      <c r="G31" s="19">
        <v>6411578.4500000002</v>
      </c>
      <c r="H31" s="19">
        <v>2271463.8199999998</v>
      </c>
      <c r="I31" s="19">
        <v>5066993.24</v>
      </c>
      <c r="J31" s="19">
        <v>17433143.460000001</v>
      </c>
      <c r="K31" s="19"/>
      <c r="L31" s="19"/>
      <c r="M31" s="19"/>
      <c r="N31" s="19"/>
      <c r="O31" s="19"/>
      <c r="P31" s="19"/>
      <c r="Q31" s="19"/>
      <c r="R31" s="19">
        <f t="shared" si="6"/>
        <v>34711362.039999999</v>
      </c>
      <c r="S31" s="19">
        <f t="shared" si="7"/>
        <v>0</v>
      </c>
    </row>
    <row r="32" spans="1:19" x14ac:dyDescent="0.25">
      <c r="A32" s="24" t="s">
        <v>20</v>
      </c>
      <c r="B32" s="24" t="s">
        <v>121</v>
      </c>
      <c r="C32" s="19">
        <v>84500000</v>
      </c>
      <c r="D32" s="19"/>
      <c r="E32" s="19">
        <f t="shared" si="5"/>
        <v>84500000</v>
      </c>
      <c r="F32" s="19">
        <v>7011555.4800000004</v>
      </c>
      <c r="G32" s="19">
        <v>6981142.8700000001</v>
      </c>
      <c r="H32" s="19">
        <v>6396190.5999999996</v>
      </c>
      <c r="I32" s="19">
        <v>6469636.5099999998</v>
      </c>
      <c r="J32" s="19">
        <v>6930986.4400000004</v>
      </c>
      <c r="K32" s="19"/>
      <c r="L32" s="19"/>
      <c r="M32" s="19"/>
      <c r="N32" s="19"/>
      <c r="O32" s="19"/>
      <c r="P32" s="19"/>
      <c r="Q32" s="19"/>
      <c r="R32" s="19">
        <f t="shared" si="6"/>
        <v>33789511.899999999</v>
      </c>
      <c r="S32" s="19">
        <f t="shared" si="7"/>
        <v>50710488.100000001</v>
      </c>
    </row>
    <row r="33" spans="1:19" x14ac:dyDescent="0.25">
      <c r="A33" s="24" t="s">
        <v>21</v>
      </c>
      <c r="B33" s="24" t="s">
        <v>122</v>
      </c>
      <c r="C33" s="19">
        <v>1000000</v>
      </c>
      <c r="D33" s="19"/>
      <c r="E33" s="19">
        <f t="shared" si="5"/>
        <v>1000000</v>
      </c>
      <c r="F33" s="19">
        <f>14570+76194</f>
        <v>90764</v>
      </c>
      <c r="G33" s="19">
        <f>14236+64665</f>
        <v>78901</v>
      </c>
      <c r="H33" s="19">
        <v>75301</v>
      </c>
      <c r="I33" s="19">
        <f>600+9964</f>
        <v>10564</v>
      </c>
      <c r="J33" s="19">
        <f>5760+144097</f>
        <v>149857</v>
      </c>
      <c r="K33" s="19"/>
      <c r="L33" s="19"/>
      <c r="M33" s="19"/>
      <c r="N33" s="19"/>
      <c r="O33" s="19"/>
      <c r="P33" s="19"/>
      <c r="Q33" s="19"/>
      <c r="R33" s="19">
        <f t="shared" si="6"/>
        <v>405387</v>
      </c>
      <c r="S33" s="19">
        <f t="shared" si="7"/>
        <v>594613</v>
      </c>
    </row>
    <row r="34" spans="1:19" x14ac:dyDescent="0.25">
      <c r="A34" s="24" t="s">
        <v>22</v>
      </c>
      <c r="B34" s="24" t="s">
        <v>123</v>
      </c>
      <c r="C34" s="19">
        <v>325000</v>
      </c>
      <c r="D34" s="19"/>
      <c r="E34" s="19">
        <f t="shared" si="5"/>
        <v>325000</v>
      </c>
      <c r="F34" s="19">
        <f>20119+3775</f>
        <v>23894</v>
      </c>
      <c r="G34" s="19">
        <f>19084+23775</f>
        <v>42859</v>
      </c>
      <c r="H34" s="19">
        <v>25359</v>
      </c>
      <c r="I34" s="19">
        <f>19084+6000</f>
        <v>25084</v>
      </c>
      <c r="J34" s="19">
        <f>22859+3775</f>
        <v>26634</v>
      </c>
      <c r="K34" s="19"/>
      <c r="L34" s="19"/>
      <c r="M34" s="19"/>
      <c r="N34" s="19"/>
      <c r="O34" s="19"/>
      <c r="P34" s="19"/>
      <c r="Q34" s="19"/>
      <c r="R34" s="19">
        <f t="shared" si="6"/>
        <v>143830</v>
      </c>
      <c r="S34" s="19">
        <f t="shared" si="7"/>
        <v>181170</v>
      </c>
    </row>
    <row r="35" spans="1:19" x14ac:dyDescent="0.25">
      <c r="A35" s="24" t="s">
        <v>23</v>
      </c>
      <c r="B35" s="24" t="s">
        <v>124</v>
      </c>
      <c r="C35" s="19">
        <v>14850000</v>
      </c>
      <c r="D35" s="19"/>
      <c r="E35" s="19">
        <f t="shared" si="5"/>
        <v>14850000</v>
      </c>
      <c r="F35" s="19">
        <v>1173049.3799999999</v>
      </c>
      <c r="G35" s="19">
        <v>1032677.94</v>
      </c>
      <c r="H35" s="19">
        <v>908510.4</v>
      </c>
      <c r="I35" s="19">
        <v>680310.12</v>
      </c>
      <c r="J35" s="19">
        <v>845631.56</v>
      </c>
      <c r="K35" s="19"/>
      <c r="L35" s="19"/>
      <c r="M35" s="19"/>
      <c r="N35" s="19"/>
      <c r="O35" s="19"/>
      <c r="P35" s="19"/>
      <c r="Q35" s="19"/>
      <c r="R35" s="19">
        <f t="shared" si="6"/>
        <v>4640179.4000000004</v>
      </c>
      <c r="S35" s="19">
        <f t="shared" si="7"/>
        <v>10209820.6</v>
      </c>
    </row>
    <row r="36" spans="1:19" x14ac:dyDescent="0.25">
      <c r="A36" s="24" t="s">
        <v>24</v>
      </c>
      <c r="B36" s="24" t="s">
        <v>125</v>
      </c>
      <c r="C36" s="19">
        <v>6000000</v>
      </c>
      <c r="D36" s="19"/>
      <c r="E36" s="19">
        <f t="shared" si="5"/>
        <v>6000000</v>
      </c>
      <c r="F36" s="19">
        <f>3384992.93+4672.8</f>
        <v>3389665.73</v>
      </c>
      <c r="G36" s="19">
        <v>632067</v>
      </c>
      <c r="H36" s="19">
        <v>213172.31</v>
      </c>
      <c r="I36" s="19">
        <v>27958.41</v>
      </c>
      <c r="J36" s="19">
        <v>132580.25</v>
      </c>
      <c r="K36" s="19"/>
      <c r="L36" s="19"/>
      <c r="M36" s="19"/>
      <c r="N36" s="19"/>
      <c r="O36" s="19"/>
      <c r="P36" s="19"/>
      <c r="Q36" s="19"/>
      <c r="R36" s="19">
        <f t="shared" si="6"/>
        <v>4395443.7</v>
      </c>
      <c r="S36" s="19">
        <f t="shared" si="7"/>
        <v>1604556.2999999998</v>
      </c>
    </row>
    <row r="37" spans="1:19" x14ac:dyDescent="0.25">
      <c r="A37" s="24" t="s">
        <v>25</v>
      </c>
      <c r="B37" s="24" t="s">
        <v>126</v>
      </c>
      <c r="C37" s="19">
        <v>182000000</v>
      </c>
      <c r="D37" s="19"/>
      <c r="E37" s="19">
        <f t="shared" si="5"/>
        <v>182000000</v>
      </c>
      <c r="F37" s="19">
        <f>7116123.25+6161454.26</f>
        <v>13277577.51</v>
      </c>
      <c r="G37" s="19">
        <f>8347225.99+63733.76+6014289.93</f>
        <v>14425249.68</v>
      </c>
      <c r="H37" s="19">
        <v>14701124.66</v>
      </c>
      <c r="I37" s="19">
        <f>7521386.9+5675450.2</f>
        <v>13196837.100000001</v>
      </c>
      <c r="J37" s="19">
        <f>7521493.65+11550+6862575.18</f>
        <v>14395618.83</v>
      </c>
      <c r="K37" s="19"/>
      <c r="L37" s="19"/>
      <c r="M37" s="19"/>
      <c r="N37" s="19"/>
      <c r="O37" s="19"/>
      <c r="P37" s="19"/>
      <c r="Q37" s="19"/>
      <c r="R37" s="19">
        <f t="shared" si="6"/>
        <v>69996407.780000001</v>
      </c>
      <c r="S37" s="19">
        <f t="shared" si="7"/>
        <v>112003592.22</v>
      </c>
    </row>
    <row r="38" spans="1:19" x14ac:dyDescent="0.25">
      <c r="A38" s="24" t="s">
        <v>26</v>
      </c>
      <c r="B38" s="24" t="s">
        <v>127</v>
      </c>
      <c r="C38" s="19">
        <v>13000000</v>
      </c>
      <c r="D38" s="19"/>
      <c r="E38" s="19">
        <f t="shared" si="5"/>
        <v>13000000</v>
      </c>
      <c r="F38" s="19">
        <v>19276.29</v>
      </c>
      <c r="G38" s="19">
        <v>1399449.04</v>
      </c>
      <c r="H38" s="19">
        <v>812511.37</v>
      </c>
      <c r="I38" s="19">
        <v>2118743.89</v>
      </c>
      <c r="J38" s="19">
        <v>1971773.22</v>
      </c>
      <c r="K38" s="19"/>
      <c r="L38" s="19"/>
      <c r="M38" s="19"/>
      <c r="N38" s="19"/>
      <c r="O38" s="19"/>
      <c r="P38" s="19"/>
      <c r="Q38" s="19"/>
      <c r="R38" s="19">
        <f t="shared" si="6"/>
        <v>6321753.8099999996</v>
      </c>
      <c r="S38" s="19">
        <f t="shared" si="7"/>
        <v>6678246.1900000004</v>
      </c>
    </row>
    <row r="39" spans="1:19" x14ac:dyDescent="0.25">
      <c r="A39" s="24" t="s">
        <v>27</v>
      </c>
      <c r="B39" s="24" t="s">
        <v>128</v>
      </c>
      <c r="C39" s="19">
        <v>9000000</v>
      </c>
      <c r="D39" s="19"/>
      <c r="E39" s="19">
        <f t="shared" si="5"/>
        <v>9000000</v>
      </c>
      <c r="F39" s="19">
        <f>1374212.21+11010</f>
        <v>1385222.21</v>
      </c>
      <c r="G39" s="19">
        <f>1340869.08+12030</f>
        <v>1352899.08</v>
      </c>
      <c r="H39" s="19">
        <v>651410.09</v>
      </c>
      <c r="I39" s="19">
        <f>505427+4770</f>
        <v>510197</v>
      </c>
      <c r="J39" s="19">
        <f>2298687.97+2540</f>
        <v>2301227.9700000002</v>
      </c>
      <c r="K39" s="19"/>
      <c r="L39" s="19"/>
      <c r="M39" s="19"/>
      <c r="N39" s="19"/>
      <c r="O39" s="19"/>
      <c r="P39" s="19"/>
      <c r="Q39" s="19"/>
      <c r="R39" s="19">
        <f t="shared" si="6"/>
        <v>6200956.3499999996</v>
      </c>
      <c r="S39" s="19">
        <f t="shared" si="7"/>
        <v>2799043.6500000004</v>
      </c>
    </row>
    <row r="40" spans="1:19" x14ac:dyDescent="0.25">
      <c r="A40" s="24" t="s">
        <v>28</v>
      </c>
      <c r="B40" s="24" t="s">
        <v>129</v>
      </c>
      <c r="C40" s="19">
        <v>700000</v>
      </c>
      <c r="D40" s="19"/>
      <c r="E40" s="19">
        <f t="shared" si="5"/>
        <v>700000</v>
      </c>
      <c r="F40" s="19">
        <v>44368</v>
      </c>
      <c r="G40" s="19">
        <v>27133.15</v>
      </c>
      <c r="H40" s="19">
        <v>31806</v>
      </c>
      <c r="I40" s="19">
        <v>57148.08</v>
      </c>
      <c r="J40" s="19">
        <v>40338</v>
      </c>
      <c r="K40" s="19"/>
      <c r="L40" s="19"/>
      <c r="M40" s="19"/>
      <c r="N40" s="19"/>
      <c r="O40" s="19"/>
      <c r="P40" s="19"/>
      <c r="Q40" s="19"/>
      <c r="R40" s="19">
        <f t="shared" si="6"/>
        <v>200793.22999999998</v>
      </c>
      <c r="S40" s="19">
        <f t="shared" si="7"/>
        <v>499206.77</v>
      </c>
    </row>
    <row r="41" spans="1:19" x14ac:dyDescent="0.25">
      <c r="A41" s="24" t="s">
        <v>302</v>
      </c>
      <c r="B41" s="24" t="s">
        <v>301</v>
      </c>
      <c r="C41" s="19">
        <v>1000000</v>
      </c>
      <c r="D41" s="19">
        <v>-254561</v>
      </c>
      <c r="E41" s="19">
        <f t="shared" si="5"/>
        <v>745439</v>
      </c>
      <c r="F41" s="19"/>
      <c r="G41" s="19">
        <v>0</v>
      </c>
      <c r="H41" s="19"/>
      <c r="I41" s="19">
        <v>0</v>
      </c>
      <c r="J41" s="19">
        <v>0</v>
      </c>
      <c r="K41" s="19"/>
      <c r="L41" s="19"/>
      <c r="M41" s="19"/>
      <c r="N41" s="19"/>
      <c r="O41" s="19"/>
      <c r="P41" s="19"/>
      <c r="Q41" s="19"/>
      <c r="R41" s="19">
        <f t="shared" si="6"/>
        <v>0</v>
      </c>
      <c r="S41" s="19">
        <f t="shared" si="7"/>
        <v>745439</v>
      </c>
    </row>
    <row r="42" spans="1:19" x14ac:dyDescent="0.25">
      <c r="A42" s="24" t="s">
        <v>29</v>
      </c>
      <c r="B42" s="24" t="s">
        <v>130</v>
      </c>
      <c r="C42" s="19">
        <v>700000</v>
      </c>
      <c r="D42" s="19">
        <v>254561</v>
      </c>
      <c r="E42" s="19">
        <f t="shared" si="5"/>
        <v>954561</v>
      </c>
      <c r="F42" s="19">
        <f>300000+12263</f>
        <v>312263</v>
      </c>
      <c r="G42" s="19">
        <v>830</v>
      </c>
      <c r="H42" s="19">
        <v>311233</v>
      </c>
      <c r="I42" s="19">
        <f>6000+1880</f>
        <v>7880</v>
      </c>
      <c r="J42" s="19">
        <v>322355</v>
      </c>
      <c r="K42" s="19"/>
      <c r="L42" s="19"/>
      <c r="M42" s="19"/>
      <c r="N42" s="19"/>
      <c r="O42" s="19"/>
      <c r="P42" s="19"/>
      <c r="Q42" s="19"/>
      <c r="R42" s="19">
        <f t="shared" si="6"/>
        <v>954561</v>
      </c>
      <c r="S42" s="19">
        <f t="shared" si="7"/>
        <v>0</v>
      </c>
    </row>
    <row r="43" spans="1:19" x14ac:dyDescent="0.25">
      <c r="A43" s="24" t="s">
        <v>30</v>
      </c>
      <c r="B43" s="24" t="s">
        <v>131</v>
      </c>
      <c r="C43" s="19">
        <v>241000000</v>
      </c>
      <c r="D43" s="19"/>
      <c r="E43" s="19">
        <f t="shared" si="5"/>
        <v>241000000</v>
      </c>
      <c r="F43" s="19">
        <f>49200+23600</f>
        <v>72800</v>
      </c>
      <c r="G43" s="19">
        <v>33309765.600000001</v>
      </c>
      <c r="H43" s="19">
        <v>44614384</v>
      </c>
      <c r="I43" s="19">
        <v>48000</v>
      </c>
      <c r="J43" s="19">
        <v>44920293.200000003</v>
      </c>
      <c r="K43" s="19"/>
      <c r="L43" s="19"/>
      <c r="M43" s="19"/>
      <c r="N43" s="19"/>
      <c r="O43" s="19"/>
      <c r="P43" s="19"/>
      <c r="Q43" s="19"/>
      <c r="R43" s="19">
        <f t="shared" si="6"/>
        <v>122965242.8</v>
      </c>
      <c r="S43" s="19">
        <f t="shared" si="7"/>
        <v>118034757.2</v>
      </c>
    </row>
    <row r="44" spans="1:19" x14ac:dyDescent="0.25">
      <c r="A44" s="24" t="s">
        <v>303</v>
      </c>
      <c r="B44" s="24" t="s">
        <v>304</v>
      </c>
      <c r="C44" s="19">
        <v>21000000</v>
      </c>
      <c r="D44" s="19"/>
      <c r="E44" s="19">
        <f t="shared" si="5"/>
        <v>21000000</v>
      </c>
      <c r="F44" s="19"/>
      <c r="G44" s="19">
        <v>6710393.2800000003</v>
      </c>
      <c r="H44" s="19"/>
      <c r="I44" s="19"/>
      <c r="J44" s="19">
        <v>0</v>
      </c>
      <c r="K44" s="19"/>
      <c r="L44" s="19"/>
      <c r="M44" s="19"/>
      <c r="N44" s="19"/>
      <c r="O44" s="19"/>
      <c r="P44" s="19"/>
      <c r="Q44" s="19"/>
      <c r="R44" s="19">
        <f t="shared" si="6"/>
        <v>6710393.2800000003</v>
      </c>
      <c r="S44" s="19">
        <f t="shared" si="7"/>
        <v>14289606.719999999</v>
      </c>
    </row>
    <row r="45" spans="1:19" x14ac:dyDescent="0.25">
      <c r="A45" s="24" t="s">
        <v>258</v>
      </c>
      <c r="B45" s="24" t="s">
        <v>259</v>
      </c>
      <c r="C45" s="19">
        <v>300000</v>
      </c>
      <c r="D45" s="19"/>
      <c r="E45" s="19">
        <f t="shared" si="5"/>
        <v>300000</v>
      </c>
      <c r="F45" s="19">
        <v>14655.6</v>
      </c>
      <c r="G45" s="19">
        <v>0</v>
      </c>
      <c r="H45" s="19"/>
      <c r="I45" s="19"/>
      <c r="J45" s="19"/>
      <c r="K45" s="19"/>
      <c r="L45" s="19"/>
      <c r="M45" s="19"/>
      <c r="N45" s="19"/>
      <c r="O45" s="19"/>
      <c r="P45" s="19"/>
      <c r="Q45" s="19"/>
      <c r="R45" s="19">
        <f t="shared" si="6"/>
        <v>14655.6</v>
      </c>
      <c r="S45" s="19">
        <f t="shared" si="7"/>
        <v>285344.40000000002</v>
      </c>
    </row>
    <row r="46" spans="1:19" x14ac:dyDescent="0.25">
      <c r="A46" s="24" t="s">
        <v>284</v>
      </c>
      <c r="B46" s="24" t="s">
        <v>285</v>
      </c>
      <c r="C46" s="19">
        <v>500000</v>
      </c>
      <c r="D46" s="19"/>
      <c r="E46" s="19">
        <f t="shared" si="5"/>
        <v>500000</v>
      </c>
      <c r="F46" s="19"/>
      <c r="G46" s="19">
        <v>0</v>
      </c>
      <c r="H46" s="19"/>
      <c r="I46" s="19"/>
      <c r="J46" s="19"/>
      <c r="K46" s="19"/>
      <c r="L46" s="19"/>
      <c r="M46" s="19"/>
      <c r="N46" s="19"/>
      <c r="O46" s="19"/>
      <c r="P46" s="19"/>
      <c r="Q46" s="19"/>
      <c r="R46" s="19">
        <f t="shared" si="6"/>
        <v>0</v>
      </c>
      <c r="S46" s="19">
        <f t="shared" si="7"/>
        <v>500000</v>
      </c>
    </row>
    <row r="47" spans="1:19" x14ac:dyDescent="0.25">
      <c r="A47" s="24" t="s">
        <v>31</v>
      </c>
      <c r="B47" s="24" t="s">
        <v>132</v>
      </c>
      <c r="C47" s="19">
        <v>5000000</v>
      </c>
      <c r="D47" s="19"/>
      <c r="E47" s="19">
        <f t="shared" si="5"/>
        <v>5000000</v>
      </c>
      <c r="F47" s="19">
        <f>289030+77880</f>
        <v>366910</v>
      </c>
      <c r="G47" s="19">
        <v>356920</v>
      </c>
      <c r="H47" s="19">
        <v>270895.59999999998</v>
      </c>
      <c r="I47" s="19">
        <f>51826.83+77880</f>
        <v>129706.83</v>
      </c>
      <c r="J47" s="19">
        <v>843208.17</v>
      </c>
      <c r="K47" s="19"/>
      <c r="L47" s="19"/>
      <c r="M47" s="19"/>
      <c r="N47" s="19"/>
      <c r="O47" s="19"/>
      <c r="P47" s="19"/>
      <c r="Q47" s="19"/>
      <c r="R47" s="19">
        <f t="shared" si="6"/>
        <v>1967640.6</v>
      </c>
      <c r="S47" s="19">
        <f t="shared" si="7"/>
        <v>3032359.4</v>
      </c>
    </row>
    <row r="48" spans="1:19" x14ac:dyDescent="0.25">
      <c r="A48" s="24" t="s">
        <v>32</v>
      </c>
      <c r="B48" s="24" t="s">
        <v>133</v>
      </c>
      <c r="C48" s="19">
        <v>1000000</v>
      </c>
      <c r="D48" s="19"/>
      <c r="E48" s="19">
        <f t="shared" si="5"/>
        <v>1000000</v>
      </c>
      <c r="F48" s="19">
        <v>10162.280000000001</v>
      </c>
      <c r="G48" s="19">
        <v>0</v>
      </c>
      <c r="H48" s="19">
        <v>15882.8</v>
      </c>
      <c r="I48" s="19"/>
      <c r="J48" s="19">
        <v>35818.31</v>
      </c>
      <c r="K48" s="19"/>
      <c r="L48" s="19"/>
      <c r="M48" s="19"/>
      <c r="N48" s="19"/>
      <c r="O48" s="19"/>
      <c r="P48" s="19"/>
      <c r="Q48" s="19"/>
      <c r="R48" s="19">
        <f t="shared" si="6"/>
        <v>61863.39</v>
      </c>
      <c r="S48" s="19">
        <f t="shared" si="7"/>
        <v>938136.61</v>
      </c>
    </row>
    <row r="49" spans="1:19" x14ac:dyDescent="0.25">
      <c r="A49" s="24" t="s">
        <v>33</v>
      </c>
      <c r="B49" s="24" t="s">
        <v>134</v>
      </c>
      <c r="C49" s="19">
        <v>7000000</v>
      </c>
      <c r="D49" s="19"/>
      <c r="E49" s="19">
        <f t="shared" si="5"/>
        <v>7000000</v>
      </c>
      <c r="F49" s="19">
        <v>503194.94</v>
      </c>
      <c r="G49" s="19">
        <v>503194.94</v>
      </c>
      <c r="H49" s="19">
        <v>413194.94</v>
      </c>
      <c r="I49" s="19">
        <v>413194.94</v>
      </c>
      <c r="J49" s="19">
        <v>413194.94</v>
      </c>
      <c r="K49" s="19"/>
      <c r="L49" s="19"/>
      <c r="M49" s="19"/>
      <c r="N49" s="19"/>
      <c r="O49" s="19"/>
      <c r="P49" s="19"/>
      <c r="Q49" s="19"/>
      <c r="R49" s="19">
        <f t="shared" si="6"/>
        <v>2245974.7000000002</v>
      </c>
      <c r="S49" s="19">
        <f t="shared" si="7"/>
        <v>4754025.3</v>
      </c>
    </row>
    <row r="50" spans="1:19" x14ac:dyDescent="0.25">
      <c r="A50" s="24" t="s">
        <v>34</v>
      </c>
      <c r="B50" s="24" t="s">
        <v>135</v>
      </c>
      <c r="C50" s="19">
        <v>22100000</v>
      </c>
      <c r="D50" s="19"/>
      <c r="E50" s="19">
        <f t="shared" si="5"/>
        <v>22100000</v>
      </c>
      <c r="F50" s="19">
        <v>1920575.06</v>
      </c>
      <c r="G50" s="19">
        <v>1920575.05</v>
      </c>
      <c r="H50" s="19">
        <v>1813121.36</v>
      </c>
      <c r="I50" s="19">
        <v>2904180.05</v>
      </c>
      <c r="J50" s="19">
        <v>1817624.47</v>
      </c>
      <c r="K50" s="19"/>
      <c r="L50" s="19"/>
      <c r="M50" s="19"/>
      <c r="N50" s="19"/>
      <c r="O50" s="19"/>
      <c r="P50" s="19"/>
      <c r="Q50" s="19"/>
      <c r="R50" s="19">
        <f t="shared" si="6"/>
        <v>10376075.99</v>
      </c>
      <c r="S50" s="19">
        <f t="shared" si="7"/>
        <v>11723924.01</v>
      </c>
    </row>
    <row r="51" spans="1:19" x14ac:dyDescent="0.25">
      <c r="A51" s="24" t="s">
        <v>35</v>
      </c>
      <c r="B51" s="24" t="s">
        <v>136</v>
      </c>
      <c r="C51" s="19">
        <v>17500000</v>
      </c>
      <c r="D51" s="19"/>
      <c r="E51" s="19">
        <f t="shared" si="5"/>
        <v>17500000</v>
      </c>
      <c r="F51" s="19">
        <v>1904783.46</v>
      </c>
      <c r="G51" s="19">
        <v>0</v>
      </c>
      <c r="H51" s="19"/>
      <c r="I51" s="19"/>
      <c r="J51" s="19">
        <v>5100</v>
      </c>
      <c r="K51" s="19"/>
      <c r="L51" s="19"/>
      <c r="M51" s="19"/>
      <c r="N51" s="19"/>
      <c r="O51" s="19"/>
      <c r="P51" s="19"/>
      <c r="Q51" s="19"/>
      <c r="R51" s="19">
        <f t="shared" si="6"/>
        <v>1909883.46</v>
      </c>
      <c r="S51" s="19">
        <f t="shared" si="7"/>
        <v>15590116.539999999</v>
      </c>
    </row>
    <row r="52" spans="1:19" x14ac:dyDescent="0.25">
      <c r="A52" s="24" t="s">
        <v>260</v>
      </c>
      <c r="B52" s="24" t="s">
        <v>261</v>
      </c>
      <c r="C52" s="19">
        <v>1505000</v>
      </c>
      <c r="D52" s="19"/>
      <c r="E52" s="19">
        <f t="shared" si="5"/>
        <v>1505000</v>
      </c>
      <c r="F52" s="19">
        <v>119684.55</v>
      </c>
      <c r="G52" s="19">
        <v>119684.56</v>
      </c>
      <c r="H52" s="19">
        <v>119684.56</v>
      </c>
      <c r="I52" s="19">
        <v>119684.56</v>
      </c>
      <c r="J52" s="19">
        <v>119897.64</v>
      </c>
      <c r="K52" s="19"/>
      <c r="L52" s="19"/>
      <c r="M52" s="19"/>
      <c r="N52" s="19"/>
      <c r="O52" s="19"/>
      <c r="P52" s="19"/>
      <c r="Q52" s="19"/>
      <c r="R52" s="19">
        <f t="shared" si="6"/>
        <v>598635.87</v>
      </c>
      <c r="S52" s="19">
        <f t="shared" si="7"/>
        <v>906364.13</v>
      </c>
    </row>
    <row r="53" spans="1:19" x14ac:dyDescent="0.25">
      <c r="A53" s="24" t="s">
        <v>36</v>
      </c>
      <c r="B53" s="24" t="s">
        <v>137</v>
      </c>
      <c r="C53" s="19">
        <v>74363520</v>
      </c>
      <c r="D53" s="19">
        <f>-2654571.26-4120335.91</f>
        <v>-6774907.1699999999</v>
      </c>
      <c r="E53" s="19">
        <f t="shared" si="5"/>
        <v>67588612.829999998</v>
      </c>
      <c r="F53" s="19">
        <f>970909.18+724397.64</f>
        <v>1695306.82</v>
      </c>
      <c r="G53" s="19">
        <v>1693851.24</v>
      </c>
      <c r="H53" s="19">
        <v>3551458.1100000003</v>
      </c>
      <c r="I53" s="19">
        <f>801471.49+1083504.26</f>
        <v>1884975.75</v>
      </c>
      <c r="J53" s="19">
        <f>2008263.75+1347854.92</f>
        <v>3356118.67</v>
      </c>
      <c r="K53" s="19"/>
      <c r="L53" s="19"/>
      <c r="M53" s="19"/>
      <c r="N53" s="19"/>
      <c r="O53" s="19"/>
      <c r="P53" s="19"/>
      <c r="Q53" s="19"/>
      <c r="R53" s="19">
        <f t="shared" si="6"/>
        <v>12181710.59</v>
      </c>
      <c r="S53" s="19">
        <f t="shared" si="7"/>
        <v>55406902.239999995</v>
      </c>
    </row>
    <row r="54" spans="1:19" x14ac:dyDescent="0.25">
      <c r="A54" s="24" t="s">
        <v>37</v>
      </c>
      <c r="B54" s="24" t="s">
        <v>138</v>
      </c>
      <c r="C54" s="19">
        <v>2000000</v>
      </c>
      <c r="D54" s="19">
        <f>2654571.26+4120335.91</f>
        <v>6774907.1699999999</v>
      </c>
      <c r="E54" s="19">
        <f t="shared" si="5"/>
        <v>8774907.1699999999</v>
      </c>
      <c r="F54" s="19">
        <f>354079.07+4100</f>
        <v>358179.07</v>
      </c>
      <c r="G54" s="19">
        <v>176622.4</v>
      </c>
      <c r="H54" s="19">
        <v>268149</v>
      </c>
      <c r="I54" s="19">
        <v>3851620.79</v>
      </c>
      <c r="J54" s="19">
        <f>3465208.72+655127.19</f>
        <v>4120335.91</v>
      </c>
      <c r="K54" s="19"/>
      <c r="L54" s="19"/>
      <c r="M54" s="19"/>
      <c r="N54" s="19"/>
      <c r="O54" s="19"/>
      <c r="P54" s="19"/>
      <c r="Q54" s="19"/>
      <c r="R54" s="19">
        <f t="shared" si="6"/>
        <v>8774907.1699999999</v>
      </c>
      <c r="S54" s="19">
        <f t="shared" si="7"/>
        <v>0</v>
      </c>
    </row>
    <row r="55" spans="1:19" x14ac:dyDescent="0.25">
      <c r="A55" s="24" t="s">
        <v>38</v>
      </c>
      <c r="B55" s="24" t="s">
        <v>139</v>
      </c>
      <c r="C55" s="19">
        <v>6200000</v>
      </c>
      <c r="D55" s="19"/>
      <c r="E55" s="19">
        <f t="shared" si="5"/>
        <v>6200000</v>
      </c>
      <c r="F55" s="19"/>
      <c r="G55" s="19">
        <v>480000.4</v>
      </c>
      <c r="H55" s="19">
        <v>960000.8</v>
      </c>
      <c r="I55" s="19">
        <v>255588</v>
      </c>
      <c r="J55" s="19"/>
      <c r="K55" s="19"/>
      <c r="L55" s="19"/>
      <c r="M55" s="19"/>
      <c r="N55" s="19"/>
      <c r="O55" s="19"/>
      <c r="P55" s="19"/>
      <c r="Q55" s="19"/>
      <c r="R55" s="19">
        <f t="shared" si="6"/>
        <v>1695589.2000000002</v>
      </c>
      <c r="S55" s="19">
        <f t="shared" si="7"/>
        <v>4504410.8</v>
      </c>
    </row>
    <row r="56" spans="1:19" x14ac:dyDescent="0.25">
      <c r="A56" s="24" t="s">
        <v>339</v>
      </c>
      <c r="B56" s="24" t="s">
        <v>340</v>
      </c>
      <c r="C56" s="19">
        <v>0</v>
      </c>
      <c r="D56" s="19"/>
      <c r="E56" s="19">
        <f t="shared" si="5"/>
        <v>0</v>
      </c>
      <c r="F56" s="19"/>
      <c r="G56" s="19">
        <v>0</v>
      </c>
      <c r="H56" s="19"/>
      <c r="I56" s="19"/>
      <c r="J56" s="19"/>
      <c r="K56" s="19"/>
      <c r="L56" s="19"/>
      <c r="M56" s="19"/>
      <c r="N56" s="19"/>
      <c r="O56" s="19"/>
      <c r="P56" s="19"/>
      <c r="Q56" s="19"/>
      <c r="R56" s="19">
        <f t="shared" si="6"/>
        <v>0</v>
      </c>
      <c r="S56" s="19">
        <f t="shared" si="7"/>
        <v>0</v>
      </c>
    </row>
    <row r="57" spans="1:19" x14ac:dyDescent="0.25">
      <c r="A57" s="24" t="s">
        <v>211</v>
      </c>
      <c r="B57" s="24" t="s">
        <v>212</v>
      </c>
      <c r="C57" s="19">
        <v>1000000</v>
      </c>
      <c r="D57" s="19"/>
      <c r="E57" s="19">
        <f t="shared" si="5"/>
        <v>1000000</v>
      </c>
      <c r="F57" s="19"/>
      <c r="G57" s="19">
        <v>0</v>
      </c>
      <c r="H57" s="19"/>
      <c r="I57" s="19"/>
      <c r="J57" s="19"/>
      <c r="K57" s="19"/>
      <c r="L57" s="19"/>
      <c r="M57" s="19"/>
      <c r="N57" s="19"/>
      <c r="O57" s="19"/>
      <c r="P57" s="19"/>
      <c r="Q57" s="19"/>
      <c r="R57" s="19">
        <f t="shared" si="6"/>
        <v>0</v>
      </c>
      <c r="S57" s="19">
        <f t="shared" si="7"/>
        <v>1000000</v>
      </c>
    </row>
    <row r="58" spans="1:19" x14ac:dyDescent="0.25">
      <c r="A58" s="24" t="s">
        <v>309</v>
      </c>
      <c r="B58" s="24" t="s">
        <v>310</v>
      </c>
      <c r="C58" s="19">
        <v>1000000</v>
      </c>
      <c r="D58" s="19"/>
      <c r="E58" s="19">
        <f t="shared" si="5"/>
        <v>1000000</v>
      </c>
      <c r="F58" s="19">
        <v>617612.07999999996</v>
      </c>
      <c r="G58" s="19">
        <v>0</v>
      </c>
      <c r="H58" s="19"/>
      <c r="I58" s="19"/>
      <c r="J58" s="19">
        <f>141852.66+200847.33</f>
        <v>342699.99</v>
      </c>
      <c r="K58" s="19"/>
      <c r="L58" s="19"/>
      <c r="M58" s="19"/>
      <c r="N58" s="19"/>
      <c r="O58" s="19"/>
      <c r="P58" s="19"/>
      <c r="Q58" s="19"/>
      <c r="R58" s="19">
        <f t="shared" si="6"/>
        <v>960312.07</v>
      </c>
      <c r="S58" s="19">
        <f t="shared" si="7"/>
        <v>39687.930000000051</v>
      </c>
    </row>
    <row r="59" spans="1:19" x14ac:dyDescent="0.25">
      <c r="A59" s="24" t="s">
        <v>216</v>
      </c>
      <c r="B59" s="24" t="s">
        <v>233</v>
      </c>
      <c r="C59" s="19">
        <v>18000000</v>
      </c>
      <c r="D59" s="19">
        <f>-2253784.23-182277.1</f>
        <v>-2436061.33</v>
      </c>
      <c r="E59" s="19">
        <f t="shared" si="5"/>
        <v>15563938.67</v>
      </c>
      <c r="F59" s="19">
        <v>632200.34</v>
      </c>
      <c r="G59" s="19">
        <f>187912.75+83133.36</f>
        <v>271046.11</v>
      </c>
      <c r="H59" s="19">
        <v>1779886.8</v>
      </c>
      <c r="I59" s="19">
        <v>1029866.03</v>
      </c>
      <c r="J59" s="19">
        <f>574624.96+194461.05</f>
        <v>769086.01</v>
      </c>
      <c r="K59" s="19"/>
      <c r="L59" s="19"/>
      <c r="M59" s="19"/>
      <c r="N59" s="19"/>
      <c r="O59" s="19"/>
      <c r="P59" s="19"/>
      <c r="Q59" s="19"/>
      <c r="R59" s="19">
        <f t="shared" si="6"/>
        <v>4482085.29</v>
      </c>
      <c r="S59" s="19">
        <f t="shared" si="7"/>
        <v>11081853.379999999</v>
      </c>
    </row>
    <row r="60" spans="1:19" x14ac:dyDescent="0.25">
      <c r="A60" s="24" t="s">
        <v>39</v>
      </c>
      <c r="B60" s="24" t="s">
        <v>140</v>
      </c>
      <c r="C60" s="19">
        <v>6000000</v>
      </c>
      <c r="D60" s="19"/>
      <c r="E60" s="19">
        <f t="shared" ref="E60:E82" si="8">+C60+D60</f>
        <v>6000000</v>
      </c>
      <c r="F60" s="19">
        <v>148090</v>
      </c>
      <c r="G60" s="19">
        <v>473639.3</v>
      </c>
      <c r="H60" s="19">
        <v>151093.1</v>
      </c>
      <c r="I60" s="19"/>
      <c r="J60" s="19"/>
      <c r="K60" s="19"/>
      <c r="L60" s="19"/>
      <c r="M60" s="19"/>
      <c r="N60" s="19"/>
      <c r="O60" s="19"/>
      <c r="P60" s="19"/>
      <c r="Q60" s="19"/>
      <c r="R60" s="19">
        <f t="shared" ref="R60:R82" si="9">SUM(F60:Q60)</f>
        <v>772822.4</v>
      </c>
      <c r="S60" s="19">
        <f t="shared" ref="S60:S82" si="10">+E60-R60</f>
        <v>5227177.5999999996</v>
      </c>
    </row>
    <row r="61" spans="1:19" x14ac:dyDescent="0.25">
      <c r="A61" s="24" t="s">
        <v>343</v>
      </c>
      <c r="B61" s="24" t="s">
        <v>344</v>
      </c>
      <c r="C61" s="19">
        <v>0</v>
      </c>
      <c r="D61" s="19">
        <f>443753.16+37880.4</f>
        <v>481633.56</v>
      </c>
      <c r="E61" s="19">
        <f t="shared" si="8"/>
        <v>481633.56</v>
      </c>
      <c r="F61" s="19">
        <v>443753.16</v>
      </c>
      <c r="G61" s="19">
        <v>0</v>
      </c>
      <c r="H61" s="19">
        <v>37880.400000000001</v>
      </c>
      <c r="I61" s="19"/>
      <c r="J61" s="19"/>
      <c r="K61" s="19"/>
      <c r="L61" s="19"/>
      <c r="M61" s="19"/>
      <c r="N61" s="19"/>
      <c r="O61" s="19"/>
      <c r="P61" s="19"/>
      <c r="Q61" s="19"/>
      <c r="R61" s="19">
        <f t="shared" si="9"/>
        <v>481633.56</v>
      </c>
      <c r="S61" s="19">
        <f t="shared" si="10"/>
        <v>0</v>
      </c>
    </row>
    <row r="62" spans="1:19" x14ac:dyDescent="0.25">
      <c r="A62" s="24" t="s">
        <v>40</v>
      </c>
      <c r="B62" s="24" t="s">
        <v>142</v>
      </c>
      <c r="C62" s="19">
        <v>4000000</v>
      </c>
      <c r="D62" s="19"/>
      <c r="E62" s="19">
        <f t="shared" si="8"/>
        <v>4000000</v>
      </c>
      <c r="F62" s="19">
        <v>688954.8</v>
      </c>
      <c r="G62" s="19">
        <f>76198.5+693752.98</f>
        <v>769951.48</v>
      </c>
      <c r="H62" s="19">
        <v>697775.3</v>
      </c>
      <c r="I62" s="19"/>
      <c r="J62" s="19"/>
      <c r="K62" s="19"/>
      <c r="L62" s="19"/>
      <c r="M62" s="19"/>
      <c r="N62" s="19"/>
      <c r="O62" s="19"/>
      <c r="P62" s="19"/>
      <c r="Q62" s="19"/>
      <c r="R62" s="19">
        <f t="shared" si="9"/>
        <v>2156681.58</v>
      </c>
      <c r="S62" s="19">
        <f t="shared" si="10"/>
        <v>1843318.42</v>
      </c>
    </row>
    <row r="63" spans="1:19" x14ac:dyDescent="0.25">
      <c r="A63" s="24" t="s">
        <v>41</v>
      </c>
      <c r="B63" s="24" t="s">
        <v>141</v>
      </c>
      <c r="C63" s="19">
        <v>1000000</v>
      </c>
      <c r="D63" s="19"/>
      <c r="E63" s="19">
        <f t="shared" si="8"/>
        <v>1000000</v>
      </c>
      <c r="F63" s="19"/>
      <c r="G63" s="19">
        <v>0</v>
      </c>
      <c r="H63" s="19">
        <v>1059</v>
      </c>
      <c r="I63" s="19"/>
      <c r="J63" s="19"/>
      <c r="K63" s="19"/>
      <c r="L63" s="19"/>
      <c r="M63" s="19"/>
      <c r="N63" s="19"/>
      <c r="O63" s="19"/>
      <c r="P63" s="19"/>
      <c r="Q63" s="19"/>
      <c r="R63" s="19">
        <f t="shared" si="9"/>
        <v>1059</v>
      </c>
      <c r="S63" s="19">
        <f t="shared" si="10"/>
        <v>998941</v>
      </c>
    </row>
    <row r="64" spans="1:19" x14ac:dyDescent="0.25">
      <c r="A64" s="24" t="s">
        <v>42</v>
      </c>
      <c r="B64" s="24" t="s">
        <v>143</v>
      </c>
      <c r="C64" s="19">
        <v>30000000</v>
      </c>
      <c r="D64" s="19"/>
      <c r="E64" s="19">
        <f t="shared" si="8"/>
        <v>30000000</v>
      </c>
      <c r="F64" s="19">
        <f>2635457.26+70320.98</f>
        <v>2705778.2399999998</v>
      </c>
      <c r="G64" s="19">
        <f>2851557.01+325</f>
        <v>2851882.01</v>
      </c>
      <c r="H64" s="19">
        <v>3952286.5100000002</v>
      </c>
      <c r="I64" s="19">
        <f>2909339.98+144494.12</f>
        <v>3053834.1</v>
      </c>
      <c r="J64" s="19">
        <f>2115390.3+34170</f>
        <v>2149560.2999999998</v>
      </c>
      <c r="K64" s="19"/>
      <c r="L64" s="19"/>
      <c r="M64" s="19"/>
      <c r="N64" s="19"/>
      <c r="O64" s="19"/>
      <c r="P64" s="19"/>
      <c r="Q64" s="19"/>
      <c r="R64" s="19">
        <f t="shared" si="9"/>
        <v>14713341.16</v>
      </c>
      <c r="S64" s="19">
        <f t="shared" si="10"/>
        <v>15286658.84</v>
      </c>
    </row>
    <row r="65" spans="1:19" x14ac:dyDescent="0.25">
      <c r="A65" s="24" t="s">
        <v>43</v>
      </c>
      <c r="B65" s="24" t="s">
        <v>144</v>
      </c>
      <c r="C65" s="19">
        <v>0</v>
      </c>
      <c r="D65" s="19">
        <v>10778017.08</v>
      </c>
      <c r="E65" s="19">
        <f t="shared" si="8"/>
        <v>10778017.08</v>
      </c>
      <c r="F65" s="19"/>
      <c r="G65" s="19"/>
      <c r="H65" s="19"/>
      <c r="I65" s="19">
        <v>10778017.08</v>
      </c>
      <c r="J65" s="19"/>
      <c r="K65" s="19"/>
      <c r="L65" s="19"/>
      <c r="M65" s="19"/>
      <c r="N65" s="19"/>
      <c r="O65" s="19"/>
      <c r="P65" s="19"/>
      <c r="Q65" s="19"/>
      <c r="R65" s="19">
        <f t="shared" si="9"/>
        <v>10778017.08</v>
      </c>
      <c r="S65" s="19">
        <f t="shared" si="10"/>
        <v>0</v>
      </c>
    </row>
    <row r="66" spans="1:19" x14ac:dyDescent="0.25">
      <c r="A66" s="24" t="s">
        <v>44</v>
      </c>
      <c r="B66" s="24" t="s">
        <v>145</v>
      </c>
      <c r="C66" s="19">
        <v>700000</v>
      </c>
      <c r="D66" s="19"/>
      <c r="E66" s="19">
        <f t="shared" si="8"/>
        <v>700000</v>
      </c>
      <c r="F66" s="19">
        <v>128065.43</v>
      </c>
      <c r="G66" s="19">
        <v>23177.03</v>
      </c>
      <c r="H66" s="19">
        <v>19776.490000000002</v>
      </c>
      <c r="I66" s="19">
        <v>57015.31</v>
      </c>
      <c r="J66" s="19">
        <v>27601.38</v>
      </c>
      <c r="K66" s="19"/>
      <c r="L66" s="19"/>
      <c r="M66" s="19"/>
      <c r="N66" s="19"/>
      <c r="O66" s="19"/>
      <c r="P66" s="19"/>
      <c r="Q66" s="19"/>
      <c r="R66" s="19">
        <f t="shared" si="9"/>
        <v>255635.63999999998</v>
      </c>
      <c r="S66" s="19">
        <f t="shared" si="10"/>
        <v>444364.36</v>
      </c>
    </row>
    <row r="67" spans="1:19" x14ac:dyDescent="0.25">
      <c r="A67" s="24" t="s">
        <v>95</v>
      </c>
      <c r="B67" s="24" t="s">
        <v>154</v>
      </c>
      <c r="C67" s="19">
        <v>200000</v>
      </c>
      <c r="D67" s="19">
        <v>341639.67</v>
      </c>
      <c r="E67" s="19">
        <f t="shared" si="8"/>
        <v>541639.66999999993</v>
      </c>
      <c r="F67" s="19">
        <v>4500</v>
      </c>
      <c r="G67" s="19">
        <v>0</v>
      </c>
      <c r="H67" s="19">
        <v>42500</v>
      </c>
      <c r="I67" s="19"/>
      <c r="J67" s="19">
        <v>494639.67</v>
      </c>
      <c r="K67" s="19"/>
      <c r="L67" s="19"/>
      <c r="M67" s="19"/>
      <c r="N67" s="19"/>
      <c r="O67" s="19"/>
      <c r="P67" s="19"/>
      <c r="Q67" s="19"/>
      <c r="R67" s="19">
        <f t="shared" si="9"/>
        <v>541639.66999999993</v>
      </c>
      <c r="S67" s="19">
        <f t="shared" si="10"/>
        <v>0</v>
      </c>
    </row>
    <row r="68" spans="1:19" x14ac:dyDescent="0.25">
      <c r="A68" s="24" t="s">
        <v>45</v>
      </c>
      <c r="B68" s="24" t="s">
        <v>146</v>
      </c>
      <c r="C68" s="19">
        <v>100000</v>
      </c>
      <c r="D68" s="19"/>
      <c r="E68" s="19">
        <f t="shared" si="8"/>
        <v>100000</v>
      </c>
      <c r="F68" s="19"/>
      <c r="G68" s="19">
        <v>0</v>
      </c>
      <c r="H68" s="19"/>
      <c r="I68" s="19">
        <v>9500</v>
      </c>
      <c r="J68" s="19"/>
      <c r="K68" s="19"/>
      <c r="L68" s="19"/>
      <c r="M68" s="19"/>
      <c r="N68" s="19"/>
      <c r="O68" s="19"/>
      <c r="P68" s="19"/>
      <c r="Q68" s="19"/>
      <c r="R68" s="19">
        <f t="shared" si="9"/>
        <v>9500</v>
      </c>
      <c r="S68" s="19">
        <f t="shared" si="10"/>
        <v>90500</v>
      </c>
    </row>
    <row r="69" spans="1:19" x14ac:dyDescent="0.25">
      <c r="A69" s="24" t="s">
        <v>46</v>
      </c>
      <c r="B69" s="24" t="s">
        <v>147</v>
      </c>
      <c r="C69" s="19">
        <v>5100000</v>
      </c>
      <c r="D69" s="19"/>
      <c r="E69" s="19">
        <f t="shared" si="8"/>
        <v>5100000</v>
      </c>
      <c r="F69" s="19">
        <f>41300+95580</f>
        <v>136880</v>
      </c>
      <c r="G69" s="19">
        <f>313020+90388</f>
        <v>403408</v>
      </c>
      <c r="H69" s="19"/>
      <c r="I69" s="19">
        <f>7080+443680</f>
        <v>450760</v>
      </c>
      <c r="J69" s="19"/>
      <c r="K69" s="19"/>
      <c r="L69" s="19"/>
      <c r="M69" s="19"/>
      <c r="N69" s="19"/>
      <c r="O69" s="19"/>
      <c r="P69" s="19"/>
      <c r="Q69" s="19"/>
      <c r="R69" s="19">
        <f t="shared" si="9"/>
        <v>991048</v>
      </c>
      <c r="S69" s="19">
        <f t="shared" si="10"/>
        <v>4108952</v>
      </c>
    </row>
    <row r="70" spans="1:19" x14ac:dyDescent="0.25">
      <c r="A70" s="24" t="s">
        <v>47</v>
      </c>
      <c r="B70" s="24" t="s">
        <v>148</v>
      </c>
      <c r="C70" s="19">
        <v>300000</v>
      </c>
      <c r="D70" s="19"/>
      <c r="E70" s="19">
        <f t="shared" si="8"/>
        <v>300000</v>
      </c>
      <c r="F70" s="19"/>
      <c r="G70" s="19">
        <v>14750</v>
      </c>
      <c r="H70" s="19"/>
      <c r="I70" s="19"/>
      <c r="J70" s="19"/>
      <c r="K70" s="19"/>
      <c r="L70" s="19"/>
      <c r="M70" s="19"/>
      <c r="N70" s="19"/>
      <c r="O70" s="19"/>
      <c r="P70" s="19"/>
      <c r="Q70" s="19"/>
      <c r="R70" s="19">
        <f t="shared" si="9"/>
        <v>14750</v>
      </c>
      <c r="S70" s="19">
        <f t="shared" si="10"/>
        <v>285250</v>
      </c>
    </row>
    <row r="71" spans="1:19" x14ac:dyDescent="0.25">
      <c r="A71" s="24" t="s">
        <v>48</v>
      </c>
      <c r="B71" s="24" t="s">
        <v>149</v>
      </c>
      <c r="C71" s="19">
        <v>1200000</v>
      </c>
      <c r="D71" s="19"/>
      <c r="E71" s="19">
        <f t="shared" si="8"/>
        <v>1200000</v>
      </c>
      <c r="F71" s="19"/>
      <c r="G71" s="19">
        <v>153189.94</v>
      </c>
      <c r="H71" s="19">
        <v>18054</v>
      </c>
      <c r="I71" s="19">
        <v>94211.199999999997</v>
      </c>
      <c r="J71" s="19"/>
      <c r="K71" s="19"/>
      <c r="L71" s="19"/>
      <c r="M71" s="19"/>
      <c r="N71" s="19"/>
      <c r="O71" s="19"/>
      <c r="P71" s="19"/>
      <c r="Q71" s="19"/>
      <c r="R71" s="19">
        <f t="shared" si="9"/>
        <v>265455.14</v>
      </c>
      <c r="S71" s="19">
        <f t="shared" si="10"/>
        <v>934544.86</v>
      </c>
    </row>
    <row r="72" spans="1:19" x14ac:dyDescent="0.25">
      <c r="A72" s="24" t="s">
        <v>217</v>
      </c>
      <c r="B72" s="24" t="s">
        <v>234</v>
      </c>
      <c r="C72" s="19">
        <v>25000000</v>
      </c>
      <c r="D72" s="19"/>
      <c r="E72" s="19">
        <f t="shared" si="8"/>
        <v>25000000</v>
      </c>
      <c r="F72" s="19">
        <v>491712</v>
      </c>
      <c r="G72" s="19">
        <v>348120</v>
      </c>
      <c r="H72" s="19">
        <v>127832.52</v>
      </c>
      <c r="I72" s="19">
        <v>408794</v>
      </c>
      <c r="J72" s="19">
        <v>299224</v>
      </c>
      <c r="K72" s="19"/>
      <c r="L72" s="19"/>
      <c r="M72" s="19"/>
      <c r="N72" s="19"/>
      <c r="O72" s="19"/>
      <c r="P72" s="19"/>
      <c r="Q72" s="19"/>
      <c r="R72" s="19">
        <f t="shared" si="9"/>
        <v>1675682.52</v>
      </c>
      <c r="S72" s="19">
        <f t="shared" si="10"/>
        <v>23324317.48</v>
      </c>
    </row>
    <row r="73" spans="1:19" x14ac:dyDescent="0.25">
      <c r="A73" s="24" t="s">
        <v>49</v>
      </c>
      <c r="B73" s="24" t="s">
        <v>150</v>
      </c>
      <c r="C73" s="19">
        <v>20000000</v>
      </c>
      <c r="D73" s="19"/>
      <c r="E73" s="19">
        <f t="shared" si="8"/>
        <v>20000000</v>
      </c>
      <c r="F73" s="19">
        <v>-27079.599999999999</v>
      </c>
      <c r="G73" s="19">
        <v>160000</v>
      </c>
      <c r="H73" s="19">
        <v>-11</v>
      </c>
      <c r="I73" s="19">
        <v>1050080</v>
      </c>
      <c r="J73" s="19">
        <v>1990000</v>
      </c>
      <c r="K73" s="19"/>
      <c r="L73" s="19"/>
      <c r="M73" s="19"/>
      <c r="N73" s="19"/>
      <c r="O73" s="19"/>
      <c r="P73" s="19"/>
      <c r="Q73" s="19"/>
      <c r="R73" s="19">
        <f t="shared" si="9"/>
        <v>3172989.4</v>
      </c>
      <c r="S73" s="19">
        <f t="shared" si="10"/>
        <v>16827010.600000001</v>
      </c>
    </row>
    <row r="74" spans="1:19" x14ac:dyDescent="0.25">
      <c r="A74" s="24" t="s">
        <v>50</v>
      </c>
      <c r="B74" s="24" t="s">
        <v>151</v>
      </c>
      <c r="C74" s="19">
        <v>200000</v>
      </c>
      <c r="D74" s="19"/>
      <c r="E74" s="19">
        <f t="shared" si="8"/>
        <v>200000</v>
      </c>
      <c r="F74" s="19"/>
      <c r="G74" s="19">
        <v>0</v>
      </c>
      <c r="H74" s="19"/>
      <c r="I74" s="19"/>
      <c r="J74" s="19"/>
      <c r="K74" s="19"/>
      <c r="L74" s="19"/>
      <c r="M74" s="19"/>
      <c r="N74" s="19"/>
      <c r="O74" s="19"/>
      <c r="P74" s="19"/>
      <c r="Q74" s="19"/>
      <c r="R74" s="19">
        <f t="shared" si="9"/>
        <v>0</v>
      </c>
      <c r="S74" s="19">
        <f t="shared" si="10"/>
        <v>200000</v>
      </c>
    </row>
    <row r="75" spans="1:19" x14ac:dyDescent="0.25">
      <c r="A75" s="24" t="s">
        <v>286</v>
      </c>
      <c r="B75" s="24" t="s">
        <v>287</v>
      </c>
      <c r="C75" s="19">
        <v>5000000</v>
      </c>
      <c r="D75" s="19"/>
      <c r="E75" s="19">
        <f t="shared" si="8"/>
        <v>5000000</v>
      </c>
      <c r="F75" s="19"/>
      <c r="G75" s="19">
        <v>0</v>
      </c>
      <c r="H75" s="19"/>
      <c r="I75" s="19"/>
      <c r="J75" s="19"/>
      <c r="K75" s="19"/>
      <c r="L75" s="19"/>
      <c r="M75" s="19"/>
      <c r="N75" s="19"/>
      <c r="O75" s="19"/>
      <c r="P75" s="19"/>
      <c r="Q75" s="19"/>
      <c r="R75" s="19">
        <f t="shared" si="9"/>
        <v>0</v>
      </c>
      <c r="S75" s="19">
        <f t="shared" si="10"/>
        <v>5000000</v>
      </c>
    </row>
    <row r="76" spans="1:19" x14ac:dyDescent="0.25">
      <c r="A76" s="24" t="s">
        <v>218</v>
      </c>
      <c r="B76" s="24" t="s">
        <v>235</v>
      </c>
      <c r="C76" s="19">
        <v>25100000</v>
      </c>
      <c r="D76" s="19">
        <v>-10778017.08</v>
      </c>
      <c r="E76" s="19">
        <f t="shared" si="8"/>
        <v>14321982.92</v>
      </c>
      <c r="F76" s="19">
        <v>1641493.85</v>
      </c>
      <c r="G76" s="19">
        <v>1996170.6</v>
      </c>
      <c r="H76" s="19">
        <v>996883.6</v>
      </c>
      <c r="I76" s="19">
        <v>484154</v>
      </c>
      <c r="J76" s="19">
        <v>1842803.83</v>
      </c>
      <c r="K76" s="19"/>
      <c r="L76" s="19"/>
      <c r="M76" s="19"/>
      <c r="N76" s="19"/>
      <c r="O76" s="19"/>
      <c r="P76" s="19"/>
      <c r="Q76" s="19"/>
      <c r="R76" s="19">
        <f t="shared" si="9"/>
        <v>6961505.8799999999</v>
      </c>
      <c r="S76" s="19">
        <f t="shared" si="10"/>
        <v>7360477.04</v>
      </c>
    </row>
    <row r="77" spans="1:19" x14ac:dyDescent="0.25">
      <c r="A77" s="24" t="s">
        <v>262</v>
      </c>
      <c r="B77" s="24" t="s">
        <v>263</v>
      </c>
      <c r="C77" s="19">
        <v>1000000</v>
      </c>
      <c r="D77" s="19"/>
      <c r="E77" s="19">
        <f t="shared" si="8"/>
        <v>1000000</v>
      </c>
      <c r="F77" s="19"/>
      <c r="G77" s="19">
        <v>0</v>
      </c>
      <c r="H77" s="19"/>
      <c r="I77" s="19"/>
      <c r="J77" s="19"/>
      <c r="K77" s="19"/>
      <c r="L77" s="19"/>
      <c r="M77" s="19"/>
      <c r="N77" s="19"/>
      <c r="O77" s="19"/>
      <c r="P77" s="19"/>
      <c r="Q77" s="19"/>
      <c r="R77" s="19">
        <f t="shared" si="9"/>
        <v>0</v>
      </c>
      <c r="S77" s="19">
        <f t="shared" si="10"/>
        <v>1000000</v>
      </c>
    </row>
    <row r="78" spans="1:19" x14ac:dyDescent="0.25">
      <c r="A78" s="24" t="s">
        <v>293</v>
      </c>
      <c r="B78" s="24" t="s">
        <v>294</v>
      </c>
      <c r="C78" s="19">
        <v>200000</v>
      </c>
      <c r="D78" s="19">
        <f>718257+182277.1</f>
        <v>900534.1</v>
      </c>
      <c r="E78" s="19">
        <f t="shared" si="8"/>
        <v>1100534.1000000001</v>
      </c>
      <c r="F78" s="19"/>
      <c r="G78" s="19">
        <v>140886.9</v>
      </c>
      <c r="H78" s="19">
        <v>777370.1</v>
      </c>
      <c r="I78" s="19"/>
      <c r="J78" s="19">
        <v>182277.1</v>
      </c>
      <c r="K78" s="19"/>
      <c r="L78" s="19"/>
      <c r="M78" s="19"/>
      <c r="N78" s="19"/>
      <c r="O78" s="19"/>
      <c r="P78" s="19"/>
      <c r="Q78" s="19"/>
      <c r="R78" s="19">
        <f t="shared" si="9"/>
        <v>1100534.1000000001</v>
      </c>
      <c r="S78" s="19">
        <f t="shared" si="10"/>
        <v>0</v>
      </c>
    </row>
    <row r="79" spans="1:19" x14ac:dyDescent="0.25">
      <c r="A79" s="24" t="s">
        <v>51</v>
      </c>
      <c r="B79" s="24" t="s">
        <v>152</v>
      </c>
      <c r="C79" s="19">
        <v>25000000</v>
      </c>
      <c r="D79" s="19">
        <f>1057609.55+12110041.39+10792380.52+2253784.23</f>
        <v>26213815.690000001</v>
      </c>
      <c r="E79" s="19">
        <f t="shared" si="8"/>
        <v>51213815.689999998</v>
      </c>
      <c r="F79" s="19">
        <v>601288.34</v>
      </c>
      <c r="G79" s="19">
        <v>25456321.210000001</v>
      </c>
      <c r="H79" s="19">
        <v>12110041.390000001</v>
      </c>
      <c r="I79" s="19">
        <v>10792380.52</v>
      </c>
      <c r="J79" s="19">
        <v>2253784.23</v>
      </c>
      <c r="K79" s="19"/>
      <c r="L79" s="19"/>
      <c r="M79" s="19"/>
      <c r="N79" s="19"/>
      <c r="O79" s="19"/>
      <c r="P79" s="19"/>
      <c r="Q79" s="19"/>
      <c r="R79" s="19">
        <f t="shared" si="9"/>
        <v>51213815.68999999</v>
      </c>
      <c r="S79" s="19">
        <f t="shared" si="10"/>
        <v>0</v>
      </c>
    </row>
    <row r="80" spans="1:19" x14ac:dyDescent="0.25">
      <c r="A80" s="26" t="s">
        <v>52</v>
      </c>
      <c r="B80" s="26" t="s">
        <v>153</v>
      </c>
      <c r="C80" s="21">
        <v>10000000</v>
      </c>
      <c r="D80" s="21"/>
      <c r="E80" s="19">
        <f t="shared" si="8"/>
        <v>10000000</v>
      </c>
      <c r="F80" s="21">
        <f>1299331.66+627.76</f>
        <v>1299959.42</v>
      </c>
      <c r="G80" s="21">
        <v>260000</v>
      </c>
      <c r="H80" s="21">
        <v>943080.03</v>
      </c>
      <c r="I80" s="21">
        <v>2507099.25</v>
      </c>
      <c r="J80" s="21">
        <v>4037349.99</v>
      </c>
      <c r="K80" s="21"/>
      <c r="L80" s="21"/>
      <c r="M80" s="21"/>
      <c r="N80" s="21"/>
      <c r="O80" s="21"/>
      <c r="P80" s="21"/>
      <c r="Q80" s="21"/>
      <c r="R80" s="19">
        <f t="shared" si="9"/>
        <v>9047488.6900000013</v>
      </c>
      <c r="S80" s="21">
        <f t="shared" si="10"/>
        <v>952511.30999999866</v>
      </c>
    </row>
    <row r="81" spans="1:19" x14ac:dyDescent="0.25">
      <c r="A81" s="26" t="s">
        <v>298</v>
      </c>
      <c r="B81" s="26" t="s">
        <v>299</v>
      </c>
      <c r="C81" s="21">
        <v>5000</v>
      </c>
      <c r="D81" s="21">
        <v>-300</v>
      </c>
      <c r="E81" s="19">
        <f t="shared" ref="E81" si="11">+C81+D81</f>
        <v>4700</v>
      </c>
      <c r="F81" s="21">
        <v>3000</v>
      </c>
      <c r="G81" s="21">
        <v>0</v>
      </c>
      <c r="H81" s="21"/>
      <c r="I81" s="21"/>
      <c r="J81" s="21"/>
      <c r="K81" s="21"/>
      <c r="L81" s="21"/>
      <c r="M81" s="21"/>
      <c r="N81" s="21"/>
      <c r="O81" s="21"/>
      <c r="P81" s="21"/>
      <c r="Q81" s="21"/>
      <c r="R81" s="19">
        <f t="shared" si="9"/>
        <v>3000</v>
      </c>
      <c r="S81" s="21">
        <f t="shared" si="10"/>
        <v>1700</v>
      </c>
    </row>
    <row r="82" spans="1:19" x14ac:dyDescent="0.25">
      <c r="A82" s="30" t="s">
        <v>324</v>
      </c>
      <c r="B82" s="30" t="s">
        <v>366</v>
      </c>
      <c r="C82" s="20">
        <v>0</v>
      </c>
      <c r="D82" s="20">
        <v>300</v>
      </c>
      <c r="E82" s="20">
        <f t="shared" si="8"/>
        <v>300</v>
      </c>
      <c r="F82" s="20"/>
      <c r="G82" s="20">
        <v>0</v>
      </c>
      <c r="H82" s="20"/>
      <c r="I82" s="20"/>
      <c r="J82" s="20">
        <v>300</v>
      </c>
      <c r="K82" s="20"/>
      <c r="L82" s="20"/>
      <c r="M82" s="20"/>
      <c r="N82" s="20"/>
      <c r="O82" s="20"/>
      <c r="P82" s="20"/>
      <c r="Q82" s="20"/>
      <c r="R82" s="20">
        <f t="shared" si="9"/>
        <v>300</v>
      </c>
      <c r="S82" s="20">
        <f t="shared" si="10"/>
        <v>0</v>
      </c>
    </row>
    <row r="83" spans="1:19" x14ac:dyDescent="0.25">
      <c r="A83" s="6" t="s">
        <v>249</v>
      </c>
      <c r="B83" s="6"/>
      <c r="C83" s="17">
        <f t="shared" ref="C83:Q83" si="12">SUM(C28:C82)</f>
        <v>956602620</v>
      </c>
      <c r="D83" s="17">
        <f t="shared" si="12"/>
        <v>32229600.219999999</v>
      </c>
      <c r="E83" s="17">
        <f t="shared" si="12"/>
        <v>988832220.21999979</v>
      </c>
      <c r="F83" s="17">
        <f t="shared" si="12"/>
        <v>48385230.020000003</v>
      </c>
      <c r="G83" s="17">
        <f t="shared" si="12"/>
        <v>113324380.94000003</v>
      </c>
      <c r="H83" s="17">
        <f t="shared" si="12"/>
        <v>101834042.95999996</v>
      </c>
      <c r="I83" s="17">
        <f t="shared" si="12"/>
        <v>70140890.010000005</v>
      </c>
      <c r="J83" s="17">
        <f t="shared" ref="J83" si="13">SUM(J28:J82)</f>
        <v>115457560.97999999</v>
      </c>
      <c r="K83" s="17">
        <f t="shared" si="12"/>
        <v>0</v>
      </c>
      <c r="L83" s="17">
        <f t="shared" si="12"/>
        <v>0</v>
      </c>
      <c r="M83" s="17">
        <f t="shared" si="12"/>
        <v>0</v>
      </c>
      <c r="N83" s="17">
        <f t="shared" si="12"/>
        <v>0</v>
      </c>
      <c r="O83" s="17">
        <f t="shared" si="12"/>
        <v>0</v>
      </c>
      <c r="P83" s="17">
        <f t="shared" si="12"/>
        <v>0</v>
      </c>
      <c r="Q83" s="17">
        <f t="shared" si="12"/>
        <v>0</v>
      </c>
      <c r="R83" s="17">
        <f>SUM(R28:R82)</f>
        <v>449142104.90999991</v>
      </c>
      <c r="S83" s="17">
        <f>SUM(S28:S82)</f>
        <v>539690115.30999994</v>
      </c>
    </row>
    <row r="84" spans="1:19" x14ac:dyDescent="0.25">
      <c r="A84" s="6"/>
      <c r="B84" s="6"/>
      <c r="C84" s="17"/>
      <c r="D84" s="19"/>
      <c r="E84" s="19"/>
      <c r="F84" s="19"/>
      <c r="G84" s="19"/>
      <c r="H84" s="19"/>
      <c r="I84" s="19"/>
      <c r="J84" s="19"/>
      <c r="K84" s="19"/>
      <c r="L84" s="19"/>
      <c r="M84" s="19"/>
      <c r="N84" s="19"/>
      <c r="O84" s="19"/>
      <c r="P84" s="19"/>
      <c r="Q84" s="19"/>
      <c r="R84" s="24"/>
      <c r="S84" s="19"/>
    </row>
    <row r="85" spans="1:19" x14ac:dyDescent="0.25">
      <c r="A85" s="24"/>
      <c r="B85" s="24"/>
      <c r="C85" s="19"/>
      <c r="D85" s="19"/>
      <c r="E85" s="19"/>
      <c r="F85" s="19"/>
      <c r="G85" s="19"/>
      <c r="H85" s="19"/>
      <c r="I85" s="19"/>
      <c r="J85" s="19"/>
      <c r="K85" s="19"/>
      <c r="L85" s="19"/>
      <c r="M85" s="19"/>
      <c r="N85" s="19"/>
      <c r="O85" s="19"/>
      <c r="P85" s="19"/>
      <c r="Q85" s="19"/>
      <c r="R85" s="24"/>
      <c r="S85" s="24"/>
    </row>
    <row r="86" spans="1:19" x14ac:dyDescent="0.25">
      <c r="A86" s="24" t="s">
        <v>54</v>
      </c>
      <c r="B86" s="24" t="s">
        <v>155</v>
      </c>
      <c r="C86" s="19">
        <v>14831769</v>
      </c>
      <c r="D86" s="19"/>
      <c r="E86" s="19">
        <f t="shared" ref="E86:E132" si="14">+C86+D86</f>
        <v>14831769</v>
      </c>
      <c r="F86" s="19">
        <f>1921173.24+31749.88</f>
        <v>1952923.1199999999</v>
      </c>
      <c r="G86" s="19">
        <f>1446326.73+75523.18</f>
        <v>1521849.91</v>
      </c>
      <c r="H86" s="19">
        <v>2326834.8899999997</v>
      </c>
      <c r="I86" s="19">
        <f>1071058.39+18174.92</f>
        <v>1089233.3099999998</v>
      </c>
      <c r="J86" s="19">
        <f>5131239.8+20573.79</f>
        <v>5151813.59</v>
      </c>
      <c r="K86" s="19"/>
      <c r="L86" s="19"/>
      <c r="M86" s="19"/>
      <c r="N86" s="19"/>
      <c r="O86" s="19"/>
      <c r="P86" s="19"/>
      <c r="Q86" s="19"/>
      <c r="R86" s="19">
        <f t="shared" ref="R86:R132" si="15">SUM(F86:Q86)</f>
        <v>12042654.82</v>
      </c>
      <c r="S86" s="19">
        <f t="shared" ref="S86:S132" si="16">+E86-R86</f>
        <v>2789114.1799999997</v>
      </c>
    </row>
    <row r="87" spans="1:19" x14ac:dyDescent="0.25">
      <c r="A87" s="24" t="s">
        <v>345</v>
      </c>
      <c r="B87" s="24" t="s">
        <v>346</v>
      </c>
      <c r="C87" s="19">
        <v>0</v>
      </c>
      <c r="D87" s="19"/>
      <c r="E87" s="19">
        <f t="shared" si="14"/>
        <v>0</v>
      </c>
      <c r="F87" s="19"/>
      <c r="G87" s="19">
        <v>0</v>
      </c>
      <c r="H87" s="19"/>
      <c r="I87" s="19"/>
      <c r="J87" s="19"/>
      <c r="K87" s="19"/>
      <c r="L87" s="19"/>
      <c r="M87" s="19"/>
      <c r="N87" s="19"/>
      <c r="O87" s="19"/>
      <c r="P87" s="19"/>
      <c r="Q87" s="19"/>
      <c r="R87" s="19">
        <f t="shared" si="15"/>
        <v>0</v>
      </c>
      <c r="S87" s="19">
        <f t="shared" si="16"/>
        <v>0</v>
      </c>
    </row>
    <row r="88" spans="1:19" x14ac:dyDescent="0.25">
      <c r="A88" s="24" t="s">
        <v>55</v>
      </c>
      <c r="B88" s="24" t="s">
        <v>156</v>
      </c>
      <c r="C88" s="19">
        <v>1000000</v>
      </c>
      <c r="D88" s="19"/>
      <c r="E88" s="19">
        <f t="shared" si="14"/>
        <v>1000000</v>
      </c>
      <c r="F88" s="19">
        <v>84491.48</v>
      </c>
      <c r="G88" s="19">
        <v>57266</v>
      </c>
      <c r="H88" s="19">
        <v>59677.64</v>
      </c>
      <c r="I88" s="19">
        <v>48616</v>
      </c>
      <c r="J88" s="19">
        <f>43304.13+1000</f>
        <v>44304.13</v>
      </c>
      <c r="K88" s="19"/>
      <c r="L88" s="19"/>
      <c r="M88" s="19"/>
      <c r="N88" s="19"/>
      <c r="O88" s="19"/>
      <c r="P88" s="19"/>
      <c r="Q88" s="19"/>
      <c r="R88" s="19">
        <f t="shared" si="15"/>
        <v>294355.25</v>
      </c>
      <c r="S88" s="19">
        <f t="shared" si="16"/>
        <v>705644.75</v>
      </c>
    </row>
    <row r="89" spans="1:19" x14ac:dyDescent="0.25">
      <c r="A89" s="24" t="s">
        <v>56</v>
      </c>
      <c r="B89" s="24" t="s">
        <v>157</v>
      </c>
      <c r="C89" s="19">
        <v>50000</v>
      </c>
      <c r="D89" s="19"/>
      <c r="E89" s="19">
        <f t="shared" si="14"/>
        <v>50000</v>
      </c>
      <c r="F89" s="19"/>
      <c r="G89" s="19">
        <v>0</v>
      </c>
      <c r="H89" s="19">
        <v>1174.0999999999999</v>
      </c>
      <c r="I89" s="19">
        <v>1828.26</v>
      </c>
      <c r="J89" s="19"/>
      <c r="K89" s="19"/>
      <c r="L89" s="19"/>
      <c r="M89" s="19"/>
      <c r="N89" s="19"/>
      <c r="O89" s="19"/>
      <c r="P89" s="19"/>
      <c r="Q89" s="19"/>
      <c r="R89" s="19">
        <f t="shared" si="15"/>
        <v>3002.3599999999997</v>
      </c>
      <c r="S89" s="19">
        <f t="shared" si="16"/>
        <v>46997.64</v>
      </c>
    </row>
    <row r="90" spans="1:19" x14ac:dyDescent="0.25">
      <c r="A90" s="24" t="s">
        <v>264</v>
      </c>
      <c r="B90" s="24" t="s">
        <v>265</v>
      </c>
      <c r="C90" s="19">
        <v>7000</v>
      </c>
      <c r="D90" s="19"/>
      <c r="E90" s="19">
        <f t="shared" si="14"/>
        <v>7000</v>
      </c>
      <c r="F90" s="19"/>
      <c r="G90" s="19">
        <v>0</v>
      </c>
      <c r="H90" s="19"/>
      <c r="I90" s="19"/>
      <c r="J90" s="19"/>
      <c r="K90" s="19"/>
      <c r="L90" s="19"/>
      <c r="M90" s="19"/>
      <c r="N90" s="19"/>
      <c r="O90" s="19"/>
      <c r="P90" s="19"/>
      <c r="Q90" s="19"/>
      <c r="R90" s="19">
        <f t="shared" si="15"/>
        <v>0</v>
      </c>
      <c r="S90" s="19">
        <f t="shared" si="16"/>
        <v>7000</v>
      </c>
    </row>
    <row r="91" spans="1:19" x14ac:dyDescent="0.25">
      <c r="A91" s="24" t="s">
        <v>57</v>
      </c>
      <c r="B91" s="24" t="s">
        <v>158</v>
      </c>
      <c r="C91" s="19">
        <v>2000000</v>
      </c>
      <c r="D91" s="19"/>
      <c r="E91" s="19">
        <f t="shared" si="14"/>
        <v>2000000</v>
      </c>
      <c r="F91" s="19">
        <v>1353660.6</v>
      </c>
      <c r="G91" s="19">
        <v>0</v>
      </c>
      <c r="H91" s="19">
        <v>58771.21</v>
      </c>
      <c r="I91" s="19">
        <v>964.55</v>
      </c>
      <c r="J91" s="19"/>
      <c r="K91" s="19"/>
      <c r="L91" s="19"/>
      <c r="M91" s="19"/>
      <c r="N91" s="19"/>
      <c r="O91" s="19"/>
      <c r="P91" s="19"/>
      <c r="Q91" s="19"/>
      <c r="R91" s="19">
        <f t="shared" si="15"/>
        <v>1413396.36</v>
      </c>
      <c r="S91" s="19">
        <f t="shared" si="16"/>
        <v>586603.6399999999</v>
      </c>
    </row>
    <row r="92" spans="1:19" x14ac:dyDescent="0.25">
      <c r="A92" s="24" t="s">
        <v>58</v>
      </c>
      <c r="B92" s="24" t="s">
        <v>159</v>
      </c>
      <c r="C92" s="19">
        <v>4000000</v>
      </c>
      <c r="D92" s="19"/>
      <c r="E92" s="19">
        <f t="shared" si="14"/>
        <v>4000000</v>
      </c>
      <c r="F92" s="19">
        <v>36344</v>
      </c>
      <c r="G92" s="19">
        <v>539415.76</v>
      </c>
      <c r="H92" s="19">
        <v>316181</v>
      </c>
      <c r="I92" s="19"/>
      <c r="J92" s="19">
        <v>209209.27</v>
      </c>
      <c r="K92" s="19"/>
      <c r="L92" s="19"/>
      <c r="M92" s="19"/>
      <c r="N92" s="19"/>
      <c r="O92" s="19"/>
      <c r="P92" s="19"/>
      <c r="Q92" s="19"/>
      <c r="R92" s="19">
        <f t="shared" si="15"/>
        <v>1101150.03</v>
      </c>
      <c r="S92" s="19">
        <f t="shared" si="16"/>
        <v>2898849.9699999997</v>
      </c>
    </row>
    <row r="93" spans="1:19" x14ac:dyDescent="0.25">
      <c r="A93" s="24" t="s">
        <v>59</v>
      </c>
      <c r="B93" s="24" t="s">
        <v>160</v>
      </c>
      <c r="C93" s="19">
        <v>2000000</v>
      </c>
      <c r="D93" s="19"/>
      <c r="E93" s="19">
        <f t="shared" si="14"/>
        <v>2000000</v>
      </c>
      <c r="F93" s="19"/>
      <c r="G93" s="19">
        <v>18974.400000000001</v>
      </c>
      <c r="H93" s="19"/>
      <c r="I93" s="19"/>
      <c r="J93" s="19">
        <v>11974.99</v>
      </c>
      <c r="K93" s="19"/>
      <c r="L93" s="19"/>
      <c r="M93" s="19"/>
      <c r="N93" s="19"/>
      <c r="O93" s="19"/>
      <c r="P93" s="19"/>
      <c r="Q93" s="19"/>
      <c r="R93" s="19">
        <f t="shared" si="15"/>
        <v>30949.39</v>
      </c>
      <c r="S93" s="19">
        <f t="shared" si="16"/>
        <v>1969050.61</v>
      </c>
    </row>
    <row r="94" spans="1:19" x14ac:dyDescent="0.25">
      <c r="A94" s="24" t="s">
        <v>60</v>
      </c>
      <c r="B94" s="24" t="s">
        <v>161</v>
      </c>
      <c r="C94" s="19">
        <v>4000000</v>
      </c>
      <c r="D94" s="19"/>
      <c r="E94" s="19">
        <f t="shared" si="14"/>
        <v>4000000</v>
      </c>
      <c r="F94" s="19">
        <v>413047.2</v>
      </c>
      <c r="G94" s="19">
        <v>333173</v>
      </c>
      <c r="H94" s="19">
        <v>205290.5</v>
      </c>
      <c r="I94" s="19"/>
      <c r="J94" s="19">
        <v>141016.10999999999</v>
      </c>
      <c r="K94" s="19"/>
      <c r="L94" s="19"/>
      <c r="M94" s="19"/>
      <c r="N94" s="19"/>
      <c r="O94" s="19"/>
      <c r="P94" s="19"/>
      <c r="Q94" s="19"/>
      <c r="R94" s="19">
        <f t="shared" si="15"/>
        <v>1092526.81</v>
      </c>
      <c r="S94" s="19">
        <f t="shared" si="16"/>
        <v>2907473.19</v>
      </c>
    </row>
    <row r="95" spans="1:19" x14ac:dyDescent="0.25">
      <c r="A95" s="24" t="s">
        <v>61</v>
      </c>
      <c r="B95" s="24" t="s">
        <v>162</v>
      </c>
      <c r="C95" s="19">
        <v>4850000</v>
      </c>
      <c r="D95" s="19"/>
      <c r="E95" s="19">
        <f t="shared" si="14"/>
        <v>4850000</v>
      </c>
      <c r="F95" s="19">
        <f>670344.69+14400.06</f>
        <v>684744.75</v>
      </c>
      <c r="G95" s="19">
        <f>409472.75+721.13</f>
        <v>410193.88</v>
      </c>
      <c r="H95" s="19">
        <v>473387.49</v>
      </c>
      <c r="I95" s="19">
        <v>182793.81</v>
      </c>
      <c r="J95" s="19">
        <v>232684.27</v>
      </c>
      <c r="K95" s="19"/>
      <c r="L95" s="19"/>
      <c r="M95" s="19"/>
      <c r="N95" s="19"/>
      <c r="O95" s="19"/>
      <c r="P95" s="19"/>
      <c r="Q95" s="19"/>
      <c r="R95" s="19">
        <f t="shared" si="15"/>
        <v>1983804.2</v>
      </c>
      <c r="S95" s="19">
        <f t="shared" si="16"/>
        <v>2866195.8</v>
      </c>
    </row>
    <row r="96" spans="1:19" x14ac:dyDescent="0.25">
      <c r="A96" s="24" t="s">
        <v>62</v>
      </c>
      <c r="B96" s="24" t="s">
        <v>163</v>
      </c>
      <c r="C96" s="19">
        <v>300000</v>
      </c>
      <c r="D96" s="19"/>
      <c r="E96" s="19">
        <f t="shared" si="14"/>
        <v>300000</v>
      </c>
      <c r="F96" s="19">
        <v>74.849999999999994</v>
      </c>
      <c r="G96" s="19">
        <v>9038.7999999999993</v>
      </c>
      <c r="H96" s="19">
        <v>28921.8</v>
      </c>
      <c r="I96" s="19">
        <v>7740.8</v>
      </c>
      <c r="J96" s="19"/>
      <c r="K96" s="19"/>
      <c r="L96" s="19"/>
      <c r="M96" s="19"/>
      <c r="N96" s="19"/>
      <c r="O96" s="19"/>
      <c r="P96" s="19"/>
      <c r="Q96" s="19"/>
      <c r="R96" s="19">
        <f t="shared" si="15"/>
        <v>45776.25</v>
      </c>
      <c r="S96" s="19">
        <f t="shared" si="16"/>
        <v>254223.75</v>
      </c>
    </row>
    <row r="97" spans="1:19" x14ac:dyDescent="0.25">
      <c r="A97" s="24" t="s">
        <v>63</v>
      </c>
      <c r="B97" s="24" t="s">
        <v>164</v>
      </c>
      <c r="C97" s="19">
        <v>3600000</v>
      </c>
      <c r="D97" s="19"/>
      <c r="E97" s="19">
        <f t="shared" si="14"/>
        <v>3600000</v>
      </c>
      <c r="F97" s="19">
        <v>89075</v>
      </c>
      <c r="G97" s="19">
        <v>0</v>
      </c>
      <c r="H97" s="19">
        <v>9200</v>
      </c>
      <c r="I97" s="19"/>
      <c r="J97" s="19">
        <v>493046</v>
      </c>
      <c r="K97" s="19"/>
      <c r="L97" s="19"/>
      <c r="M97" s="19"/>
      <c r="N97" s="19"/>
      <c r="O97" s="19"/>
      <c r="P97" s="19"/>
      <c r="Q97" s="19"/>
      <c r="R97" s="19">
        <f t="shared" si="15"/>
        <v>591321</v>
      </c>
      <c r="S97" s="19">
        <f t="shared" si="16"/>
        <v>3008679</v>
      </c>
    </row>
    <row r="98" spans="1:19" x14ac:dyDescent="0.25">
      <c r="A98" s="24" t="s">
        <v>64</v>
      </c>
      <c r="B98" s="24" t="s">
        <v>236</v>
      </c>
      <c r="C98" s="19">
        <v>150000</v>
      </c>
      <c r="D98" s="19"/>
      <c r="E98" s="19">
        <f t="shared" si="14"/>
        <v>150000</v>
      </c>
      <c r="F98" s="19"/>
      <c r="G98" s="19">
        <v>1927.43</v>
      </c>
      <c r="H98" s="19">
        <v>10915.7</v>
      </c>
      <c r="I98" s="19"/>
      <c r="J98" s="19">
        <v>1251.58</v>
      </c>
      <c r="K98" s="19"/>
      <c r="L98" s="19"/>
      <c r="M98" s="19"/>
      <c r="N98" s="19"/>
      <c r="O98" s="19"/>
      <c r="P98" s="19"/>
      <c r="Q98" s="19"/>
      <c r="R98" s="19">
        <f t="shared" si="15"/>
        <v>14094.710000000001</v>
      </c>
      <c r="S98" s="19">
        <f t="shared" si="16"/>
        <v>135905.29</v>
      </c>
    </row>
    <row r="99" spans="1:19" x14ac:dyDescent="0.25">
      <c r="A99" s="24" t="s">
        <v>65</v>
      </c>
      <c r="B99" s="24" t="s">
        <v>165</v>
      </c>
      <c r="C99" s="19">
        <v>200000</v>
      </c>
      <c r="D99" s="19">
        <v>241320</v>
      </c>
      <c r="E99" s="19">
        <f t="shared" si="14"/>
        <v>441320</v>
      </c>
      <c r="F99" s="19"/>
      <c r="G99" s="19">
        <v>0</v>
      </c>
      <c r="H99" s="19"/>
      <c r="I99" s="19">
        <v>441320</v>
      </c>
      <c r="J99" s="19"/>
      <c r="K99" s="19"/>
      <c r="L99" s="19"/>
      <c r="M99" s="19"/>
      <c r="N99" s="19"/>
      <c r="O99" s="19"/>
      <c r="P99" s="19"/>
      <c r="Q99" s="19"/>
      <c r="R99" s="19">
        <f t="shared" si="15"/>
        <v>441320</v>
      </c>
      <c r="S99" s="19">
        <f t="shared" si="16"/>
        <v>0</v>
      </c>
    </row>
    <row r="100" spans="1:19" x14ac:dyDescent="0.25">
      <c r="A100" s="24" t="s">
        <v>66</v>
      </c>
      <c r="B100" s="24" t="s">
        <v>166</v>
      </c>
      <c r="C100" s="19">
        <v>4000000</v>
      </c>
      <c r="D100" s="19"/>
      <c r="E100" s="19">
        <f t="shared" si="14"/>
        <v>4000000</v>
      </c>
      <c r="F100" s="19">
        <f>468360.73+12400</f>
        <v>480760.73</v>
      </c>
      <c r="G100" s="19">
        <f>44321.98+28084</f>
        <v>72405.98000000001</v>
      </c>
      <c r="H100" s="19">
        <v>365498.3</v>
      </c>
      <c r="I100" s="19">
        <f>125253.66+57521.55</f>
        <v>182775.21000000002</v>
      </c>
      <c r="J100" s="19">
        <f>18240+43135.2</f>
        <v>61375.199999999997</v>
      </c>
      <c r="K100" s="19"/>
      <c r="L100" s="19"/>
      <c r="M100" s="19"/>
      <c r="N100" s="19"/>
      <c r="O100" s="19"/>
      <c r="P100" s="19"/>
      <c r="Q100" s="19"/>
      <c r="R100" s="19">
        <f t="shared" si="15"/>
        <v>1162815.42</v>
      </c>
      <c r="S100" s="19">
        <f t="shared" si="16"/>
        <v>2837184.58</v>
      </c>
    </row>
    <row r="101" spans="1:19" x14ac:dyDescent="0.25">
      <c r="A101" s="24" t="s">
        <v>67</v>
      </c>
      <c r="B101" s="24" t="s">
        <v>167</v>
      </c>
      <c r="C101" s="19">
        <v>200000</v>
      </c>
      <c r="D101" s="19"/>
      <c r="E101" s="19">
        <f t="shared" si="14"/>
        <v>200000</v>
      </c>
      <c r="F101" s="19">
        <v>12375.84</v>
      </c>
      <c r="G101" s="19">
        <f>26107.5+1900</f>
        <v>28007.5</v>
      </c>
      <c r="H101" s="19">
        <v>5102.84</v>
      </c>
      <c r="I101" s="19"/>
      <c r="J101" s="19">
        <f>1902.17+130</f>
        <v>2032.17</v>
      </c>
      <c r="K101" s="19"/>
      <c r="L101" s="19"/>
      <c r="M101" s="19"/>
      <c r="N101" s="19"/>
      <c r="O101" s="19"/>
      <c r="P101" s="19"/>
      <c r="Q101" s="19"/>
      <c r="R101" s="19">
        <f t="shared" si="15"/>
        <v>47518.349999999991</v>
      </c>
      <c r="S101" s="19">
        <f t="shared" si="16"/>
        <v>152481.65000000002</v>
      </c>
    </row>
    <row r="102" spans="1:19" x14ac:dyDescent="0.25">
      <c r="A102" s="24" t="s">
        <v>68</v>
      </c>
      <c r="B102" s="24" t="s">
        <v>168</v>
      </c>
      <c r="C102" s="19">
        <v>10000000</v>
      </c>
      <c r="D102" s="19">
        <f>-27164.62-52943.2-241320-341639.67-2480.55-25567.61-32254.59</f>
        <v>-723370.24</v>
      </c>
      <c r="E102" s="19">
        <f t="shared" si="14"/>
        <v>9276629.7599999998</v>
      </c>
      <c r="F102" s="19">
        <f>315574.72+6101.51</f>
        <v>321676.23</v>
      </c>
      <c r="G102" s="19">
        <f>378741.98+16407.98</f>
        <v>395149.95999999996</v>
      </c>
      <c r="H102" s="19">
        <v>266975.25</v>
      </c>
      <c r="I102" s="19">
        <f>780835.91+245</f>
        <v>781080.91</v>
      </c>
      <c r="J102" s="19">
        <f>289132.45+10302.18</f>
        <v>299434.63</v>
      </c>
      <c r="K102" s="19"/>
      <c r="L102" s="19"/>
      <c r="M102" s="19"/>
      <c r="N102" s="19"/>
      <c r="O102" s="19"/>
      <c r="P102" s="19"/>
      <c r="Q102" s="19"/>
      <c r="R102" s="19">
        <f t="shared" si="15"/>
        <v>2064316.98</v>
      </c>
      <c r="S102" s="19">
        <f t="shared" si="16"/>
        <v>7212312.7799999993</v>
      </c>
    </row>
    <row r="103" spans="1:19" x14ac:dyDescent="0.25">
      <c r="A103" s="24" t="s">
        <v>219</v>
      </c>
      <c r="B103" s="24" t="s">
        <v>169</v>
      </c>
      <c r="C103" s="19">
        <v>30000</v>
      </c>
      <c r="D103" s="19">
        <f>27164.62+1144.6+2480.55</f>
        <v>30789.769999999997</v>
      </c>
      <c r="E103" s="19">
        <f t="shared" si="14"/>
        <v>60789.77</v>
      </c>
      <c r="F103" s="19">
        <f>3834.11+50</f>
        <v>3884.11</v>
      </c>
      <c r="G103" s="19">
        <f>53005.41+275.1</f>
        <v>53280.51</v>
      </c>
      <c r="H103" s="19">
        <v>1144.5999999999999</v>
      </c>
      <c r="I103" s="19"/>
      <c r="J103" s="19">
        <v>2480.5500000000002</v>
      </c>
      <c r="K103" s="19"/>
      <c r="L103" s="19"/>
      <c r="M103" s="19"/>
      <c r="N103" s="19"/>
      <c r="O103" s="19"/>
      <c r="P103" s="19"/>
      <c r="Q103" s="19"/>
      <c r="R103" s="19">
        <f t="shared" si="15"/>
        <v>60789.770000000004</v>
      </c>
      <c r="S103" s="19">
        <f t="shared" si="16"/>
        <v>0</v>
      </c>
    </row>
    <row r="104" spans="1:19" x14ac:dyDescent="0.25">
      <c r="A104" s="24" t="s">
        <v>341</v>
      </c>
      <c r="B104" s="24" t="s">
        <v>342</v>
      </c>
      <c r="C104" s="19">
        <v>0</v>
      </c>
      <c r="D104" s="19"/>
      <c r="E104" s="19">
        <f t="shared" si="14"/>
        <v>0</v>
      </c>
      <c r="F104" s="19"/>
      <c r="G104" s="19">
        <v>0</v>
      </c>
      <c r="H104" s="19"/>
      <c r="I104" s="19"/>
      <c r="J104" s="19"/>
      <c r="K104" s="19"/>
      <c r="L104" s="19"/>
      <c r="M104" s="19"/>
      <c r="N104" s="19"/>
      <c r="O104" s="19"/>
      <c r="P104" s="19"/>
      <c r="Q104" s="19"/>
      <c r="R104" s="19">
        <f t="shared" si="15"/>
        <v>0</v>
      </c>
      <c r="S104" s="19">
        <f t="shared" si="16"/>
        <v>0</v>
      </c>
    </row>
    <row r="105" spans="1:19" x14ac:dyDescent="0.25">
      <c r="A105" s="24" t="s">
        <v>290</v>
      </c>
      <c r="B105" s="24" t="s">
        <v>291</v>
      </c>
      <c r="C105" s="19">
        <v>5000</v>
      </c>
      <c r="D105" s="19"/>
      <c r="E105" s="19">
        <f t="shared" si="14"/>
        <v>5000</v>
      </c>
      <c r="F105" s="19"/>
      <c r="G105" s="19">
        <v>0</v>
      </c>
      <c r="H105" s="19"/>
      <c r="I105" s="19"/>
      <c r="J105" s="19"/>
      <c r="K105" s="19"/>
      <c r="L105" s="19"/>
      <c r="M105" s="19"/>
      <c r="N105" s="19"/>
      <c r="O105" s="19"/>
      <c r="P105" s="19"/>
      <c r="Q105" s="19"/>
      <c r="R105" s="19">
        <f t="shared" si="15"/>
        <v>0</v>
      </c>
      <c r="S105" s="19">
        <f t="shared" si="16"/>
        <v>5000</v>
      </c>
    </row>
    <row r="106" spans="1:19" x14ac:dyDescent="0.25">
      <c r="A106" s="24" t="s">
        <v>325</v>
      </c>
      <c r="B106" s="24" t="s">
        <v>349</v>
      </c>
      <c r="C106" s="19"/>
      <c r="D106" s="19"/>
      <c r="E106" s="19">
        <f t="shared" si="14"/>
        <v>0</v>
      </c>
      <c r="F106" s="19"/>
      <c r="G106" s="19">
        <v>0</v>
      </c>
      <c r="H106" s="19"/>
      <c r="I106" s="19"/>
      <c r="J106" s="19"/>
      <c r="K106" s="19"/>
      <c r="L106" s="19"/>
      <c r="M106" s="19"/>
      <c r="N106" s="19"/>
      <c r="O106" s="19"/>
      <c r="P106" s="19"/>
      <c r="Q106" s="19"/>
      <c r="R106" s="19">
        <f t="shared" si="15"/>
        <v>0</v>
      </c>
      <c r="S106" s="19">
        <f t="shared" si="16"/>
        <v>0</v>
      </c>
    </row>
    <row r="107" spans="1:19" x14ac:dyDescent="0.25">
      <c r="A107" s="24" t="s">
        <v>220</v>
      </c>
      <c r="B107" s="24" t="s">
        <v>170</v>
      </c>
      <c r="C107" s="19">
        <v>1000000</v>
      </c>
      <c r="D107" s="19"/>
      <c r="E107" s="19">
        <f t="shared" si="14"/>
        <v>1000000</v>
      </c>
      <c r="F107" s="19">
        <v>165</v>
      </c>
      <c r="G107" s="19">
        <v>0</v>
      </c>
      <c r="H107" s="19">
        <v>29453.040000000001</v>
      </c>
      <c r="I107" s="19"/>
      <c r="J107" s="19"/>
      <c r="K107" s="19"/>
      <c r="L107" s="19"/>
      <c r="M107" s="19"/>
      <c r="N107" s="19"/>
      <c r="O107" s="19"/>
      <c r="P107" s="19"/>
      <c r="Q107" s="19"/>
      <c r="R107" s="19">
        <f t="shared" si="15"/>
        <v>29618.04</v>
      </c>
      <c r="S107" s="19">
        <f t="shared" si="16"/>
        <v>970381.96</v>
      </c>
    </row>
    <row r="108" spans="1:19" x14ac:dyDescent="0.25">
      <c r="A108" s="24" t="s">
        <v>305</v>
      </c>
      <c r="B108" s="24" t="s">
        <v>307</v>
      </c>
      <c r="C108" s="19">
        <v>30000</v>
      </c>
      <c r="D108" s="19"/>
      <c r="E108" s="19">
        <f t="shared" si="14"/>
        <v>30000</v>
      </c>
      <c r="F108" s="19"/>
      <c r="G108" s="19">
        <v>0</v>
      </c>
      <c r="H108" s="19"/>
      <c r="I108" s="19"/>
      <c r="J108" s="19"/>
      <c r="K108" s="19"/>
      <c r="L108" s="19"/>
      <c r="M108" s="19"/>
      <c r="N108" s="19"/>
      <c r="O108" s="19"/>
      <c r="P108" s="19"/>
      <c r="Q108" s="19"/>
      <c r="R108" s="19">
        <f t="shared" si="15"/>
        <v>0</v>
      </c>
      <c r="S108" s="19">
        <f t="shared" si="16"/>
        <v>30000</v>
      </c>
    </row>
    <row r="109" spans="1:19" x14ac:dyDescent="0.25">
      <c r="A109" s="24" t="s">
        <v>306</v>
      </c>
      <c r="B109" s="24" t="s">
        <v>308</v>
      </c>
      <c r="C109" s="19">
        <v>75000</v>
      </c>
      <c r="D109" s="19">
        <v>25567.61</v>
      </c>
      <c r="E109" s="19">
        <f t="shared" si="14"/>
        <v>100567.61</v>
      </c>
      <c r="F109" s="19"/>
      <c r="G109" s="19">
        <v>0</v>
      </c>
      <c r="H109" s="19">
        <v>10528.86</v>
      </c>
      <c r="I109" s="19">
        <v>64377.4</v>
      </c>
      <c r="J109" s="19">
        <v>25661.35</v>
      </c>
      <c r="K109" s="19"/>
      <c r="L109" s="19"/>
      <c r="M109" s="19"/>
      <c r="N109" s="19"/>
      <c r="O109" s="19"/>
      <c r="P109" s="19"/>
      <c r="Q109" s="19"/>
      <c r="R109" s="19">
        <f t="shared" si="15"/>
        <v>100567.61000000002</v>
      </c>
      <c r="S109" s="19">
        <f t="shared" si="16"/>
        <v>0</v>
      </c>
    </row>
    <row r="110" spans="1:19" x14ac:dyDescent="0.25">
      <c r="A110" s="24" t="s">
        <v>221</v>
      </c>
      <c r="B110" s="24" t="s">
        <v>171</v>
      </c>
      <c r="C110" s="19">
        <v>75000</v>
      </c>
      <c r="D110" s="19"/>
      <c r="E110" s="19">
        <f t="shared" si="14"/>
        <v>75000</v>
      </c>
      <c r="F110" s="19">
        <v>23400</v>
      </c>
      <c r="G110" s="19">
        <v>0</v>
      </c>
      <c r="H110" s="19"/>
      <c r="I110" s="19"/>
      <c r="J110" s="19"/>
      <c r="K110" s="19"/>
      <c r="L110" s="19"/>
      <c r="M110" s="19"/>
      <c r="N110" s="19"/>
      <c r="O110" s="19"/>
      <c r="P110" s="19"/>
      <c r="Q110" s="19"/>
      <c r="R110" s="19">
        <f t="shared" si="15"/>
        <v>23400</v>
      </c>
      <c r="S110" s="19">
        <f t="shared" si="16"/>
        <v>51600</v>
      </c>
    </row>
    <row r="111" spans="1:19" x14ac:dyDescent="0.25">
      <c r="A111" s="24" t="s">
        <v>69</v>
      </c>
      <c r="B111" s="24" t="s">
        <v>172</v>
      </c>
      <c r="C111" s="19">
        <v>375000</v>
      </c>
      <c r="D111" s="19"/>
      <c r="E111" s="19">
        <f t="shared" si="14"/>
        <v>375000</v>
      </c>
      <c r="F111" s="19">
        <v>10349.969999999999</v>
      </c>
      <c r="G111" s="19">
        <v>17688.2</v>
      </c>
      <c r="H111" s="19"/>
      <c r="I111" s="19"/>
      <c r="J111" s="19"/>
      <c r="K111" s="19"/>
      <c r="L111" s="19"/>
      <c r="M111" s="19"/>
      <c r="N111" s="19"/>
      <c r="O111" s="19"/>
      <c r="P111" s="19"/>
      <c r="Q111" s="19"/>
      <c r="R111" s="19">
        <f t="shared" si="15"/>
        <v>28038.17</v>
      </c>
      <c r="S111" s="19">
        <f t="shared" si="16"/>
        <v>346961.83</v>
      </c>
    </row>
    <row r="112" spans="1:19" x14ac:dyDescent="0.25">
      <c r="A112" s="24" t="s">
        <v>266</v>
      </c>
      <c r="B112" s="24" t="s">
        <v>267</v>
      </c>
      <c r="C112" s="19">
        <v>70000</v>
      </c>
      <c r="D112" s="19"/>
      <c r="E112" s="19">
        <f t="shared" si="14"/>
        <v>70000</v>
      </c>
      <c r="F112" s="19">
        <v>6750</v>
      </c>
      <c r="G112" s="19">
        <v>0</v>
      </c>
      <c r="H112" s="19">
        <v>237.64</v>
      </c>
      <c r="I112" s="19">
        <v>3989.77</v>
      </c>
      <c r="J112" s="19"/>
      <c r="K112" s="19"/>
      <c r="L112" s="19"/>
      <c r="M112" s="19"/>
      <c r="N112" s="19"/>
      <c r="O112" s="19"/>
      <c r="P112" s="19"/>
      <c r="Q112" s="19"/>
      <c r="R112" s="19">
        <f t="shared" si="15"/>
        <v>10977.41</v>
      </c>
      <c r="S112" s="19">
        <f t="shared" si="16"/>
        <v>59022.59</v>
      </c>
    </row>
    <row r="113" spans="1:19" x14ac:dyDescent="0.25">
      <c r="A113" s="24" t="s">
        <v>70</v>
      </c>
      <c r="B113" s="24" t="s">
        <v>173</v>
      </c>
      <c r="C113" s="19">
        <v>1100000</v>
      </c>
      <c r="D113" s="19"/>
      <c r="E113" s="19">
        <f t="shared" si="14"/>
        <v>1100000</v>
      </c>
      <c r="F113" s="19">
        <f>47977.63+86707.11</f>
        <v>134684.74</v>
      </c>
      <c r="G113" s="19">
        <f>115782.01+10484.07</f>
        <v>126266.07999999999</v>
      </c>
      <c r="H113" s="19">
        <v>98247.79</v>
      </c>
      <c r="I113" s="19">
        <f>162246.1+3019.98</f>
        <v>165266.08000000002</v>
      </c>
      <c r="J113" s="19">
        <f>175987.31+17195.48</f>
        <v>193182.79</v>
      </c>
      <c r="K113" s="19"/>
      <c r="L113" s="19"/>
      <c r="M113" s="19"/>
      <c r="N113" s="19"/>
      <c r="O113" s="19"/>
      <c r="P113" s="19"/>
      <c r="Q113" s="19"/>
      <c r="R113" s="19">
        <f t="shared" si="15"/>
        <v>717647.48</v>
      </c>
      <c r="S113" s="19">
        <f t="shared" si="16"/>
        <v>382352.52</v>
      </c>
    </row>
    <row r="114" spans="1:19" x14ac:dyDescent="0.25">
      <c r="A114" s="24" t="s">
        <v>71</v>
      </c>
      <c r="B114" s="24" t="s">
        <v>174</v>
      </c>
      <c r="C114" s="19">
        <v>50000</v>
      </c>
      <c r="D114" s="19">
        <v>52943.199999999997</v>
      </c>
      <c r="E114" s="19">
        <f t="shared" si="14"/>
        <v>102943.2</v>
      </c>
      <c r="F114" s="19"/>
      <c r="G114" s="19">
        <v>102943.2</v>
      </c>
      <c r="H114" s="19"/>
      <c r="I114" s="19"/>
      <c r="J114" s="19"/>
      <c r="K114" s="19"/>
      <c r="L114" s="19"/>
      <c r="M114" s="19"/>
      <c r="N114" s="19"/>
      <c r="O114" s="19"/>
      <c r="P114" s="19"/>
      <c r="Q114" s="19"/>
      <c r="R114" s="19">
        <f t="shared" si="15"/>
        <v>102943.2</v>
      </c>
      <c r="S114" s="19">
        <f t="shared" si="16"/>
        <v>0</v>
      </c>
    </row>
    <row r="115" spans="1:19" x14ac:dyDescent="0.25">
      <c r="A115" s="24" t="s">
        <v>356</v>
      </c>
      <c r="B115" s="24" t="s">
        <v>357</v>
      </c>
      <c r="C115" s="19"/>
      <c r="D115" s="19">
        <v>1053.3900000000001</v>
      </c>
      <c r="E115" s="19">
        <f t="shared" si="14"/>
        <v>1053.3900000000001</v>
      </c>
      <c r="F115" s="19">
        <v>1053.3900000000001</v>
      </c>
      <c r="G115" s="19">
        <v>0</v>
      </c>
      <c r="H115" s="19"/>
      <c r="I115" s="19"/>
      <c r="J115" s="19"/>
      <c r="K115" s="19"/>
      <c r="L115" s="19"/>
      <c r="M115" s="19"/>
      <c r="N115" s="19"/>
      <c r="O115" s="19"/>
      <c r="P115" s="19"/>
      <c r="Q115" s="19"/>
      <c r="R115" s="19">
        <f t="shared" si="15"/>
        <v>1053.3900000000001</v>
      </c>
      <c r="S115" s="19">
        <f t="shared" si="16"/>
        <v>0</v>
      </c>
    </row>
    <row r="116" spans="1:19" x14ac:dyDescent="0.25">
      <c r="A116" s="24" t="s">
        <v>222</v>
      </c>
      <c r="B116" s="24" t="s">
        <v>237</v>
      </c>
      <c r="C116" s="19">
        <v>40000000</v>
      </c>
      <c r="D116" s="19"/>
      <c r="E116" s="19">
        <f t="shared" si="14"/>
        <v>40000000</v>
      </c>
      <c r="F116" s="19">
        <f>6943961.01+515789</f>
        <v>7459750.0099999998</v>
      </c>
      <c r="G116" s="19">
        <v>2880564.1</v>
      </c>
      <c r="H116" s="19">
        <v>5550197.2599999998</v>
      </c>
      <c r="I116" s="19">
        <v>4302933.9800000004</v>
      </c>
      <c r="J116" s="19">
        <f>4562041.8+8000</f>
        <v>4570041.8</v>
      </c>
      <c r="K116" s="19"/>
      <c r="L116" s="19"/>
      <c r="M116" s="19"/>
      <c r="N116" s="19"/>
      <c r="O116" s="19"/>
      <c r="P116" s="19"/>
      <c r="Q116" s="19"/>
      <c r="R116" s="19">
        <f t="shared" si="15"/>
        <v>24763487.150000002</v>
      </c>
      <c r="S116" s="19">
        <f t="shared" si="16"/>
        <v>15236512.849999998</v>
      </c>
    </row>
    <row r="117" spans="1:19" x14ac:dyDescent="0.25">
      <c r="A117" s="24" t="s">
        <v>72</v>
      </c>
      <c r="B117" s="24" t="s">
        <v>175</v>
      </c>
      <c r="C117" s="19">
        <v>5999999</v>
      </c>
      <c r="D117" s="19"/>
      <c r="E117" s="19">
        <f t="shared" si="14"/>
        <v>5999999</v>
      </c>
      <c r="F117" s="19">
        <v>35000</v>
      </c>
      <c r="G117" s="19">
        <f>12211.67+38989.32</f>
        <v>51200.99</v>
      </c>
      <c r="H117" s="19">
        <v>303868</v>
      </c>
      <c r="I117" s="19">
        <f>152000+51820</f>
        <v>203820</v>
      </c>
      <c r="J117" s="19">
        <v>16250</v>
      </c>
      <c r="K117" s="19"/>
      <c r="L117" s="19"/>
      <c r="M117" s="19"/>
      <c r="N117" s="19"/>
      <c r="O117" s="19"/>
      <c r="P117" s="19"/>
      <c r="Q117" s="19"/>
      <c r="R117" s="19">
        <f t="shared" si="15"/>
        <v>610138.99</v>
      </c>
      <c r="S117" s="19">
        <f t="shared" si="16"/>
        <v>5389860.0099999998</v>
      </c>
    </row>
    <row r="118" spans="1:19" x14ac:dyDescent="0.25">
      <c r="A118" s="24" t="s">
        <v>73</v>
      </c>
      <c r="B118" s="24" t="s">
        <v>176</v>
      </c>
      <c r="C118" s="19">
        <v>600000</v>
      </c>
      <c r="D118" s="19"/>
      <c r="E118" s="19">
        <f t="shared" si="14"/>
        <v>600000</v>
      </c>
      <c r="F118" s="19"/>
      <c r="G118" s="19">
        <f>123268.8+2000</f>
        <v>125268.8</v>
      </c>
      <c r="H118" s="19">
        <v>81930.2</v>
      </c>
      <c r="I118" s="19">
        <f>124862.77+1800</f>
        <v>126662.77</v>
      </c>
      <c r="J118" s="19">
        <f>31687.5+1600</f>
        <v>33287.5</v>
      </c>
      <c r="K118" s="19"/>
      <c r="L118" s="19"/>
      <c r="M118" s="19"/>
      <c r="N118" s="19"/>
      <c r="O118" s="19"/>
      <c r="P118" s="19"/>
      <c r="Q118" s="19"/>
      <c r="R118" s="19">
        <f t="shared" si="15"/>
        <v>367149.27</v>
      </c>
      <c r="S118" s="19">
        <f t="shared" si="16"/>
        <v>232850.72999999998</v>
      </c>
    </row>
    <row r="119" spans="1:19" x14ac:dyDescent="0.25">
      <c r="A119" s="24" t="s">
        <v>74</v>
      </c>
      <c r="B119" s="24" t="s">
        <v>177</v>
      </c>
      <c r="C119" s="19">
        <v>550000</v>
      </c>
      <c r="D119" s="19"/>
      <c r="E119" s="19">
        <f t="shared" si="14"/>
        <v>550000</v>
      </c>
      <c r="F119" s="19"/>
      <c r="G119" s="19">
        <v>0</v>
      </c>
      <c r="H119" s="19"/>
      <c r="I119" s="19"/>
      <c r="J119" s="19"/>
      <c r="K119" s="19"/>
      <c r="L119" s="19"/>
      <c r="M119" s="19"/>
      <c r="N119" s="19"/>
      <c r="O119" s="19"/>
      <c r="P119" s="19"/>
      <c r="Q119" s="19"/>
      <c r="R119" s="19">
        <f t="shared" si="15"/>
        <v>0</v>
      </c>
      <c r="S119" s="19">
        <f t="shared" si="16"/>
        <v>550000</v>
      </c>
    </row>
    <row r="120" spans="1:19" x14ac:dyDescent="0.25">
      <c r="A120" s="24" t="s">
        <v>288</v>
      </c>
      <c r="B120" s="24" t="s">
        <v>289</v>
      </c>
      <c r="C120" s="19">
        <v>270000</v>
      </c>
      <c r="D120" s="19"/>
      <c r="E120" s="19">
        <f t="shared" si="14"/>
        <v>270000</v>
      </c>
      <c r="F120" s="19"/>
      <c r="G120" s="19">
        <v>0</v>
      </c>
      <c r="H120" s="19">
        <v>2620</v>
      </c>
      <c r="I120" s="19">
        <v>239226.12</v>
      </c>
      <c r="J120" s="19"/>
      <c r="K120" s="19"/>
      <c r="L120" s="19"/>
      <c r="M120" s="19"/>
      <c r="N120" s="19"/>
      <c r="O120" s="19"/>
      <c r="P120" s="19"/>
      <c r="Q120" s="19"/>
      <c r="R120" s="19">
        <f t="shared" si="15"/>
        <v>241846.12</v>
      </c>
      <c r="S120" s="19">
        <f t="shared" si="16"/>
        <v>28153.880000000005</v>
      </c>
    </row>
    <row r="121" spans="1:19" x14ac:dyDescent="0.25">
      <c r="A121" s="24" t="s">
        <v>268</v>
      </c>
      <c r="B121" s="24" t="s">
        <v>269</v>
      </c>
      <c r="C121" s="19">
        <v>220000</v>
      </c>
      <c r="D121" s="19"/>
      <c r="E121" s="19">
        <f t="shared" si="14"/>
        <v>220000</v>
      </c>
      <c r="F121" s="19"/>
      <c r="G121" s="19">
        <v>0</v>
      </c>
      <c r="H121" s="19"/>
      <c r="I121" s="19"/>
      <c r="J121" s="19"/>
      <c r="K121" s="19"/>
      <c r="L121" s="19"/>
      <c r="M121" s="19"/>
      <c r="N121" s="19"/>
      <c r="O121" s="19"/>
      <c r="P121" s="19"/>
      <c r="Q121" s="19"/>
      <c r="R121" s="19">
        <f t="shared" si="15"/>
        <v>0</v>
      </c>
      <c r="S121" s="19">
        <f t="shared" si="16"/>
        <v>220000</v>
      </c>
    </row>
    <row r="122" spans="1:19" x14ac:dyDescent="0.25">
      <c r="A122" s="24" t="s">
        <v>207</v>
      </c>
      <c r="B122" s="24" t="s">
        <v>238</v>
      </c>
      <c r="C122" s="19">
        <v>550000</v>
      </c>
      <c r="D122" s="19"/>
      <c r="E122" s="19">
        <f t="shared" si="14"/>
        <v>550000</v>
      </c>
      <c r="F122" s="19">
        <f>6608+1200</f>
        <v>7808</v>
      </c>
      <c r="G122" s="19">
        <v>0</v>
      </c>
      <c r="H122" s="19">
        <v>5310</v>
      </c>
      <c r="I122" s="19"/>
      <c r="J122" s="19">
        <v>9247.5400000000009</v>
      </c>
      <c r="K122" s="19"/>
      <c r="L122" s="19"/>
      <c r="M122" s="19"/>
      <c r="N122" s="19"/>
      <c r="O122" s="19"/>
      <c r="P122" s="19"/>
      <c r="Q122" s="19"/>
      <c r="R122" s="19">
        <f t="shared" si="15"/>
        <v>22365.54</v>
      </c>
      <c r="S122" s="19">
        <f t="shared" si="16"/>
        <v>527634.46</v>
      </c>
    </row>
    <row r="123" spans="1:19" x14ac:dyDescent="0.25">
      <c r="A123" s="24" t="s">
        <v>206</v>
      </c>
      <c r="B123" s="24" t="s">
        <v>239</v>
      </c>
      <c r="C123" s="19">
        <v>1100000</v>
      </c>
      <c r="D123" s="19"/>
      <c r="E123" s="19">
        <f t="shared" si="14"/>
        <v>1100000</v>
      </c>
      <c r="F123" s="19"/>
      <c r="G123" s="19">
        <v>17000</v>
      </c>
      <c r="H123" s="19"/>
      <c r="I123" s="19">
        <v>237904.57</v>
      </c>
      <c r="J123" s="19"/>
      <c r="K123" s="19"/>
      <c r="L123" s="19"/>
      <c r="M123" s="19"/>
      <c r="N123" s="19"/>
      <c r="O123" s="19"/>
      <c r="P123" s="19"/>
      <c r="Q123" s="19"/>
      <c r="R123" s="19">
        <f t="shared" si="15"/>
        <v>254904.57</v>
      </c>
      <c r="S123" s="19">
        <f t="shared" si="16"/>
        <v>845095.42999999993</v>
      </c>
    </row>
    <row r="124" spans="1:19" x14ac:dyDescent="0.25">
      <c r="A124" s="24" t="s">
        <v>75</v>
      </c>
      <c r="B124" s="24" t="s">
        <v>240</v>
      </c>
      <c r="C124" s="19">
        <v>260000</v>
      </c>
      <c r="D124" s="19"/>
      <c r="E124" s="19">
        <f t="shared" si="14"/>
        <v>260000</v>
      </c>
      <c r="F124" s="19"/>
      <c r="G124" s="19">
        <v>309.98</v>
      </c>
      <c r="H124" s="19"/>
      <c r="I124" s="19">
        <f>192410+1213.87</f>
        <v>193623.87</v>
      </c>
      <c r="J124" s="19">
        <v>343</v>
      </c>
      <c r="K124" s="19"/>
      <c r="L124" s="19"/>
      <c r="M124" s="19"/>
      <c r="N124" s="19"/>
      <c r="O124" s="19"/>
      <c r="P124" s="19"/>
      <c r="Q124" s="19"/>
      <c r="R124" s="19">
        <f t="shared" si="15"/>
        <v>194276.85</v>
      </c>
      <c r="S124" s="19">
        <f t="shared" si="16"/>
        <v>65723.149999999994</v>
      </c>
    </row>
    <row r="125" spans="1:19" x14ac:dyDescent="0.25">
      <c r="A125" s="24" t="s">
        <v>208</v>
      </c>
      <c r="B125" s="24" t="s">
        <v>241</v>
      </c>
      <c r="C125" s="19">
        <v>3000000</v>
      </c>
      <c r="D125" s="19"/>
      <c r="E125" s="19">
        <f t="shared" si="14"/>
        <v>3000000</v>
      </c>
      <c r="F125" s="19">
        <f>43593.18+6108.88</f>
        <v>49702.06</v>
      </c>
      <c r="G125" s="19">
        <f>125146.99+4724.96</f>
        <v>129871.95000000001</v>
      </c>
      <c r="H125" s="19">
        <v>537653.32999999996</v>
      </c>
      <c r="I125" s="19">
        <v>4626.12</v>
      </c>
      <c r="J125" s="19">
        <v>218272.89</v>
      </c>
      <c r="K125" s="19"/>
      <c r="L125" s="19"/>
      <c r="M125" s="19"/>
      <c r="N125" s="19"/>
      <c r="O125" s="19"/>
      <c r="P125" s="19"/>
      <c r="Q125" s="19"/>
      <c r="R125" s="19">
        <f t="shared" si="15"/>
        <v>940126.35</v>
      </c>
      <c r="S125" s="19">
        <f t="shared" si="16"/>
        <v>2059873.65</v>
      </c>
    </row>
    <row r="126" spans="1:19" x14ac:dyDescent="0.25">
      <c r="A126" s="24" t="s">
        <v>76</v>
      </c>
      <c r="B126" s="24" t="s">
        <v>178</v>
      </c>
      <c r="C126" s="19">
        <v>6200000</v>
      </c>
      <c r="D126" s="19"/>
      <c r="E126" s="19">
        <f t="shared" si="14"/>
        <v>6200000</v>
      </c>
      <c r="F126" s="19">
        <v>253108.82</v>
      </c>
      <c r="G126" s="19">
        <f>513241.17+822</f>
        <v>514063.17</v>
      </c>
      <c r="H126" s="19">
        <v>612278.26</v>
      </c>
      <c r="I126" s="19">
        <v>15043.5</v>
      </c>
      <c r="J126" s="19">
        <f>605204.89+2230</f>
        <v>607434.89</v>
      </c>
      <c r="K126" s="19"/>
      <c r="L126" s="19"/>
      <c r="M126" s="19"/>
      <c r="N126" s="19"/>
      <c r="O126" s="19"/>
      <c r="P126" s="19"/>
      <c r="Q126" s="19"/>
      <c r="R126" s="19">
        <f t="shared" si="15"/>
        <v>2001928.6400000001</v>
      </c>
      <c r="S126" s="19">
        <f t="shared" si="16"/>
        <v>4198071.3599999994</v>
      </c>
    </row>
    <row r="127" spans="1:19" x14ac:dyDescent="0.25">
      <c r="A127" s="24" t="s">
        <v>77</v>
      </c>
      <c r="B127" s="24" t="s">
        <v>179</v>
      </c>
      <c r="C127" s="19">
        <v>25500000</v>
      </c>
      <c r="D127" s="19"/>
      <c r="E127" s="19">
        <f t="shared" si="14"/>
        <v>25500000</v>
      </c>
      <c r="F127" s="19">
        <f>1953189.92+1454.02</f>
        <v>1954643.94</v>
      </c>
      <c r="G127" s="19">
        <f>246061.92+6780.37</f>
        <v>252842.29</v>
      </c>
      <c r="H127" s="19">
        <v>1021704.02</v>
      </c>
      <c r="I127" s="19">
        <f>176061.09+6207.2</f>
        <v>182268.29</v>
      </c>
      <c r="J127" s="19">
        <f>259436.3+7737.24</f>
        <v>267173.53999999998</v>
      </c>
      <c r="K127" s="19"/>
      <c r="L127" s="19"/>
      <c r="M127" s="19"/>
      <c r="N127" s="19"/>
      <c r="O127" s="19"/>
      <c r="P127" s="19"/>
      <c r="Q127" s="19"/>
      <c r="R127" s="19">
        <f t="shared" si="15"/>
        <v>3678632.08</v>
      </c>
      <c r="S127" s="19">
        <f t="shared" si="16"/>
        <v>21821367.920000002</v>
      </c>
    </row>
    <row r="128" spans="1:19" x14ac:dyDescent="0.25">
      <c r="A128" s="24" t="s">
        <v>295</v>
      </c>
      <c r="B128" s="24" t="s">
        <v>296</v>
      </c>
      <c r="C128" s="19">
        <v>2000000</v>
      </c>
      <c r="D128" s="19"/>
      <c r="E128" s="19">
        <f t="shared" si="14"/>
        <v>2000000</v>
      </c>
      <c r="F128" s="19">
        <v>7511.4</v>
      </c>
      <c r="G128" s="19">
        <v>0</v>
      </c>
      <c r="H128" s="19">
        <v>30783.24</v>
      </c>
      <c r="I128" s="19"/>
      <c r="J128" s="19"/>
      <c r="K128" s="19"/>
      <c r="L128" s="19"/>
      <c r="M128" s="19"/>
      <c r="N128" s="19"/>
      <c r="O128" s="19"/>
      <c r="P128" s="19"/>
      <c r="Q128" s="19"/>
      <c r="R128" s="19">
        <f t="shared" si="15"/>
        <v>38294.639999999999</v>
      </c>
      <c r="S128" s="19">
        <f t="shared" si="16"/>
        <v>1961705.36</v>
      </c>
    </row>
    <row r="129" spans="1:19" x14ac:dyDescent="0.25">
      <c r="A129" s="24" t="s">
        <v>78</v>
      </c>
      <c r="B129" s="24" t="s">
        <v>180</v>
      </c>
      <c r="C129" s="19">
        <v>250000</v>
      </c>
      <c r="D129" s="19">
        <f>176101.79+174261.01+32254.59</f>
        <v>382617.39000000007</v>
      </c>
      <c r="E129" s="19">
        <f t="shared" si="14"/>
        <v>632617.39000000013</v>
      </c>
      <c r="F129" s="19"/>
      <c r="G129" s="19">
        <v>0</v>
      </c>
      <c r="H129" s="19">
        <v>426101.79</v>
      </c>
      <c r="I129" s="19">
        <v>174261.01</v>
      </c>
      <c r="J129" s="19">
        <v>32254.59</v>
      </c>
      <c r="K129" s="19"/>
      <c r="L129" s="19"/>
      <c r="M129" s="19"/>
      <c r="N129" s="19"/>
      <c r="O129" s="19"/>
      <c r="P129" s="19"/>
      <c r="Q129" s="19"/>
      <c r="R129" s="19">
        <f t="shared" si="15"/>
        <v>632617.39</v>
      </c>
      <c r="S129" s="19">
        <f t="shared" si="16"/>
        <v>0</v>
      </c>
    </row>
    <row r="130" spans="1:19" x14ac:dyDescent="0.25">
      <c r="A130" s="24" t="s">
        <v>79</v>
      </c>
      <c r="B130" s="24" t="s">
        <v>181</v>
      </c>
      <c r="C130" s="19">
        <v>100000</v>
      </c>
      <c r="D130" s="19"/>
      <c r="E130" s="19">
        <f t="shared" si="14"/>
        <v>100000</v>
      </c>
      <c r="F130" s="19"/>
      <c r="G130" s="19">
        <f>1758.4+7350.22</f>
        <v>9108.6200000000008</v>
      </c>
      <c r="H130" s="19">
        <v>2325.0500000000002</v>
      </c>
      <c r="I130" s="19"/>
      <c r="J130" s="19"/>
      <c r="K130" s="19"/>
      <c r="L130" s="19"/>
      <c r="M130" s="19"/>
      <c r="N130" s="19"/>
      <c r="O130" s="19"/>
      <c r="P130" s="19"/>
      <c r="Q130" s="19"/>
      <c r="R130" s="19">
        <f t="shared" si="15"/>
        <v>11433.670000000002</v>
      </c>
      <c r="S130" s="19">
        <f t="shared" si="16"/>
        <v>88566.33</v>
      </c>
    </row>
    <row r="131" spans="1:19" x14ac:dyDescent="0.25">
      <c r="A131" s="24" t="s">
        <v>80</v>
      </c>
      <c r="B131" s="24" t="s">
        <v>182</v>
      </c>
      <c r="C131" s="19">
        <v>5000000</v>
      </c>
      <c r="D131" s="19"/>
      <c r="E131" s="19">
        <f t="shared" si="14"/>
        <v>5000000</v>
      </c>
      <c r="F131" s="19">
        <f>318116.39+65071.84</f>
        <v>383188.23</v>
      </c>
      <c r="G131" s="19">
        <f>284497.98+10473.31</f>
        <v>294971.28999999998</v>
      </c>
      <c r="H131" s="19">
        <v>2974857.69</v>
      </c>
      <c r="I131" s="19">
        <f>80579.98+2143.23</f>
        <v>82723.209999999992</v>
      </c>
      <c r="J131" s="19">
        <f>636380.19+33338.7</f>
        <v>669718.8899999999</v>
      </c>
      <c r="K131" s="19"/>
      <c r="L131" s="19"/>
      <c r="M131" s="19"/>
      <c r="N131" s="19"/>
      <c r="O131" s="19"/>
      <c r="P131" s="19"/>
      <c r="Q131" s="19"/>
      <c r="R131" s="19">
        <f t="shared" si="15"/>
        <v>4405459.3099999996</v>
      </c>
      <c r="S131" s="19">
        <f t="shared" si="16"/>
        <v>594540.69000000041</v>
      </c>
    </row>
    <row r="132" spans="1:19" x14ac:dyDescent="0.25">
      <c r="A132" s="30" t="s">
        <v>81</v>
      </c>
      <c r="B132" s="30" t="s">
        <v>242</v>
      </c>
      <c r="C132" s="20">
        <v>46900000</v>
      </c>
      <c r="D132" s="20">
        <f>-10486.49-443753.16-5638136.93-3183000-1053.39-1057609.55-133689.94-7000000-37880.4-1144.6-176101.79-6190-174261.01</f>
        <v>-17863307.260000002</v>
      </c>
      <c r="E132" s="20">
        <f t="shared" si="14"/>
        <v>29036692.739999998</v>
      </c>
      <c r="F132" s="20">
        <f>13387931.3-39435.65</f>
        <v>13348495.65</v>
      </c>
      <c r="G132" s="20">
        <f>3869282.93+215</f>
        <v>3869497.93</v>
      </c>
      <c r="H132" s="20">
        <v>3067186.27</v>
      </c>
      <c r="I132" s="20">
        <v>2951253.76</v>
      </c>
      <c r="J132" s="20">
        <f>2943081.76+44</f>
        <v>2943125.76</v>
      </c>
      <c r="K132" s="20"/>
      <c r="L132" s="20"/>
      <c r="M132" s="20"/>
      <c r="N132" s="20"/>
      <c r="O132" s="20"/>
      <c r="P132" s="20"/>
      <c r="Q132" s="20"/>
      <c r="R132" s="20">
        <f t="shared" si="15"/>
        <v>26179559.369999997</v>
      </c>
      <c r="S132" s="20">
        <f t="shared" si="16"/>
        <v>2857133.370000001</v>
      </c>
    </row>
    <row r="133" spans="1:19" x14ac:dyDescent="0.25">
      <c r="A133" s="6" t="s">
        <v>250</v>
      </c>
      <c r="B133" s="6"/>
      <c r="C133" s="17">
        <f>SUM(C86:C132)</f>
        <v>192498768</v>
      </c>
      <c r="D133" s="17">
        <f t="shared" ref="D133:Q133" si="17">SUM(D86:D132)</f>
        <v>-17852386.140000001</v>
      </c>
      <c r="E133" s="17">
        <f t="shared" si="17"/>
        <v>174646381.86000001</v>
      </c>
      <c r="F133" s="17">
        <f t="shared" si="17"/>
        <v>29108669.120000001</v>
      </c>
      <c r="G133" s="17">
        <f t="shared" si="17"/>
        <v>11832279.73</v>
      </c>
      <c r="H133" s="17">
        <f t="shared" si="17"/>
        <v>18884357.759999998</v>
      </c>
      <c r="I133" s="17">
        <f t="shared" si="17"/>
        <v>11684333.300000001</v>
      </c>
      <c r="J133" s="17">
        <f t="shared" ref="J133" si="18">SUM(J86:J132)</f>
        <v>16236617.029999999</v>
      </c>
      <c r="K133" s="17">
        <f t="shared" si="17"/>
        <v>0</v>
      </c>
      <c r="L133" s="17">
        <f t="shared" si="17"/>
        <v>0</v>
      </c>
      <c r="M133" s="17">
        <f t="shared" si="17"/>
        <v>0</v>
      </c>
      <c r="N133" s="17">
        <f t="shared" si="17"/>
        <v>0</v>
      </c>
      <c r="O133" s="17">
        <f t="shared" si="17"/>
        <v>0</v>
      </c>
      <c r="P133" s="17">
        <f t="shared" si="17"/>
        <v>0</v>
      </c>
      <c r="Q133" s="17">
        <f t="shared" si="17"/>
        <v>0</v>
      </c>
      <c r="R133" s="17">
        <f>SUM(R86:R132)</f>
        <v>87746256.940000013</v>
      </c>
      <c r="S133" s="17">
        <f>SUM(S86:S132)</f>
        <v>86900124.919999987</v>
      </c>
    </row>
    <row r="134" spans="1:19" x14ac:dyDescent="0.25">
      <c r="A134" s="24"/>
      <c r="B134" s="24"/>
      <c r="C134" s="19"/>
      <c r="D134" s="19"/>
      <c r="E134" s="19"/>
      <c r="F134" s="19"/>
      <c r="G134" s="19"/>
      <c r="H134" s="19"/>
      <c r="I134" s="19"/>
      <c r="J134" s="19"/>
      <c r="K134" s="19"/>
      <c r="L134" s="19"/>
      <c r="M134" s="19"/>
      <c r="N134" s="19"/>
      <c r="O134" s="19"/>
      <c r="P134" s="19"/>
      <c r="Q134" s="19"/>
      <c r="R134" s="24"/>
      <c r="S134" s="24"/>
    </row>
    <row r="135" spans="1:19" x14ac:dyDescent="0.25">
      <c r="A135" s="24"/>
      <c r="B135" s="24"/>
      <c r="C135" s="19"/>
      <c r="D135" s="19"/>
      <c r="E135" s="19"/>
      <c r="F135" s="19"/>
      <c r="G135" s="19"/>
      <c r="H135" s="19"/>
      <c r="I135" s="19"/>
      <c r="J135" s="19"/>
      <c r="K135" s="19"/>
      <c r="L135" s="19"/>
      <c r="M135" s="19"/>
      <c r="N135" s="19"/>
      <c r="O135" s="19"/>
      <c r="P135" s="19"/>
      <c r="Q135" s="19"/>
      <c r="R135" s="24"/>
      <c r="S135" s="24"/>
    </row>
    <row r="136" spans="1:19" x14ac:dyDescent="0.25">
      <c r="A136" s="24" t="s">
        <v>82</v>
      </c>
      <c r="B136" s="24" t="s">
        <v>183</v>
      </c>
      <c r="C136" s="19">
        <v>17000000</v>
      </c>
      <c r="D136" s="19"/>
      <c r="E136" s="19">
        <f t="shared" ref="E136:E158" si="19">+C136+D136</f>
        <v>17000000</v>
      </c>
      <c r="F136" s="19">
        <v>1317372.8600000001</v>
      </c>
      <c r="G136" s="19">
        <f>251592.1+39683.4</f>
        <v>291275.5</v>
      </c>
      <c r="H136" s="19">
        <v>732851.82</v>
      </c>
      <c r="I136" s="19">
        <v>2861946.21</v>
      </c>
      <c r="J136" s="19">
        <v>389346.93</v>
      </c>
      <c r="K136" s="19"/>
      <c r="L136" s="19"/>
      <c r="M136" s="19"/>
      <c r="N136" s="19"/>
      <c r="O136" s="19"/>
      <c r="P136" s="19"/>
      <c r="Q136" s="19"/>
      <c r="R136" s="19">
        <f t="shared" ref="R136:R158" si="20">SUM(F136:Q136)</f>
        <v>5592793.3200000003</v>
      </c>
      <c r="S136" s="19">
        <f t="shared" ref="S136:S158" si="21">+E136-R136</f>
        <v>11407206.68</v>
      </c>
    </row>
    <row r="137" spans="1:19" x14ac:dyDescent="0.25">
      <c r="A137" s="24" t="s">
        <v>350</v>
      </c>
      <c r="B137" s="24" t="s">
        <v>351</v>
      </c>
      <c r="C137" s="19"/>
      <c r="D137" s="19">
        <v>133689.94</v>
      </c>
      <c r="E137" s="19">
        <f t="shared" si="19"/>
        <v>133689.94</v>
      </c>
      <c r="F137" s="19"/>
      <c r="G137" s="19">
        <v>133689.94</v>
      </c>
      <c r="H137" s="19"/>
      <c r="I137" s="19"/>
      <c r="J137" s="19"/>
      <c r="K137" s="19"/>
      <c r="L137" s="19"/>
      <c r="M137" s="19"/>
      <c r="N137" s="19"/>
      <c r="O137" s="19"/>
      <c r="P137" s="19"/>
      <c r="Q137" s="19"/>
      <c r="R137" s="19">
        <f t="shared" si="20"/>
        <v>133689.94</v>
      </c>
      <c r="S137" s="19">
        <f t="shared" si="21"/>
        <v>0</v>
      </c>
    </row>
    <row r="138" spans="1:19" x14ac:dyDescent="0.25">
      <c r="A138" s="24" t="s">
        <v>270</v>
      </c>
      <c r="B138" s="24" t="s">
        <v>271</v>
      </c>
      <c r="C138" s="19">
        <v>500000</v>
      </c>
      <c r="D138" s="19"/>
      <c r="E138" s="19">
        <f t="shared" si="19"/>
        <v>500000</v>
      </c>
      <c r="F138" s="19"/>
      <c r="G138" s="19">
        <v>12390</v>
      </c>
      <c r="H138" s="19"/>
      <c r="I138" s="19">
        <v>48296.22</v>
      </c>
      <c r="J138" s="19"/>
      <c r="K138" s="19"/>
      <c r="L138" s="19"/>
      <c r="M138" s="19"/>
      <c r="N138" s="19"/>
      <c r="O138" s="19"/>
      <c r="P138" s="19"/>
      <c r="Q138" s="19"/>
      <c r="R138" s="19">
        <f t="shared" si="20"/>
        <v>60686.22</v>
      </c>
      <c r="S138" s="19">
        <f t="shared" si="21"/>
        <v>439313.78</v>
      </c>
    </row>
    <row r="139" spans="1:19" x14ac:dyDescent="0.25">
      <c r="A139" s="24" t="s">
        <v>83</v>
      </c>
      <c r="B139" s="24" t="s">
        <v>184</v>
      </c>
      <c r="C139" s="19">
        <v>198667539</v>
      </c>
      <c r="D139" s="19">
        <f>-12110041.39-10792380.52</f>
        <v>-22902421.91</v>
      </c>
      <c r="E139" s="19">
        <f t="shared" si="19"/>
        <v>175765117.09</v>
      </c>
      <c r="F139" s="19">
        <v>36520</v>
      </c>
      <c r="G139" s="19">
        <v>41368.879999999997</v>
      </c>
      <c r="H139" s="19">
        <v>7926720.1699999999</v>
      </c>
      <c r="I139" s="19">
        <f>55553.85-39615.96</f>
        <v>15937.89</v>
      </c>
      <c r="J139" s="19"/>
      <c r="K139" s="19"/>
      <c r="L139" s="19"/>
      <c r="M139" s="19"/>
      <c r="N139" s="19"/>
      <c r="O139" s="19"/>
      <c r="P139" s="19"/>
      <c r="Q139" s="19"/>
      <c r="R139" s="19">
        <f t="shared" si="20"/>
        <v>8020546.9399999995</v>
      </c>
      <c r="S139" s="19">
        <f t="shared" si="21"/>
        <v>167744570.15000001</v>
      </c>
    </row>
    <row r="140" spans="1:19" x14ac:dyDescent="0.25">
      <c r="A140" s="24" t="s">
        <v>213</v>
      </c>
      <c r="B140" s="24" t="s">
        <v>214</v>
      </c>
      <c r="C140" s="19">
        <v>7000000</v>
      </c>
      <c r="D140" s="19"/>
      <c r="E140" s="19">
        <f t="shared" si="19"/>
        <v>7000000</v>
      </c>
      <c r="F140" s="19">
        <v>853356.74</v>
      </c>
      <c r="G140" s="19">
        <f>820490.15+108424.94+19416.9</f>
        <v>948331.99000000011</v>
      </c>
      <c r="H140" s="19">
        <v>1173246.7</v>
      </c>
      <c r="I140" s="19">
        <f>259045.55+83308</f>
        <v>342353.55</v>
      </c>
      <c r="J140" s="19">
        <v>345821.42</v>
      </c>
      <c r="K140" s="19"/>
      <c r="L140" s="19"/>
      <c r="M140" s="19"/>
      <c r="N140" s="19"/>
      <c r="O140" s="19"/>
      <c r="P140" s="19"/>
      <c r="Q140" s="19"/>
      <c r="R140" s="19">
        <f t="shared" si="20"/>
        <v>3663110.3999999994</v>
      </c>
      <c r="S140" s="19">
        <f t="shared" si="21"/>
        <v>3336889.6000000006</v>
      </c>
    </row>
    <row r="141" spans="1:19" x14ac:dyDescent="0.25">
      <c r="A141" s="24" t="s">
        <v>84</v>
      </c>
      <c r="B141" s="24" t="s">
        <v>243</v>
      </c>
      <c r="C141" s="19">
        <v>20000000</v>
      </c>
      <c r="D141" s="19"/>
      <c r="E141" s="19">
        <f t="shared" si="19"/>
        <v>20000000</v>
      </c>
      <c r="F141" s="19">
        <v>165161.14000000001</v>
      </c>
      <c r="G141" s="19">
        <v>84903.07</v>
      </c>
      <c r="H141" s="19">
        <v>938151.07</v>
      </c>
      <c r="I141" s="19">
        <v>63286.559999999998</v>
      </c>
      <c r="J141" s="19">
        <v>1468881.51</v>
      </c>
      <c r="K141" s="19"/>
      <c r="L141" s="19"/>
      <c r="M141" s="19"/>
      <c r="N141" s="19"/>
      <c r="O141" s="19"/>
      <c r="P141" s="19"/>
      <c r="Q141" s="19"/>
      <c r="R141" s="19">
        <f t="shared" si="20"/>
        <v>2720383.35</v>
      </c>
      <c r="S141" s="19">
        <f t="shared" si="21"/>
        <v>17279616.649999999</v>
      </c>
    </row>
    <row r="142" spans="1:19" x14ac:dyDescent="0.25">
      <c r="A142" s="24" t="s">
        <v>204</v>
      </c>
      <c r="B142" s="24" t="s">
        <v>244</v>
      </c>
      <c r="C142" s="19">
        <v>45000000</v>
      </c>
      <c r="D142" s="19">
        <f>-6711362.04-1602711.45</f>
        <v>-8314073.4900000002</v>
      </c>
      <c r="E142" s="19">
        <f t="shared" si="19"/>
        <v>36685926.509999998</v>
      </c>
      <c r="F142" s="19"/>
      <c r="G142" s="19">
        <v>0</v>
      </c>
      <c r="H142" s="19"/>
      <c r="I142" s="19"/>
      <c r="J142" s="19"/>
      <c r="K142" s="19"/>
      <c r="L142" s="19"/>
      <c r="M142" s="19"/>
      <c r="N142" s="19"/>
      <c r="O142" s="19"/>
      <c r="P142" s="19"/>
      <c r="Q142" s="19"/>
      <c r="R142" s="19">
        <f t="shared" si="20"/>
        <v>0</v>
      </c>
      <c r="S142" s="19">
        <f t="shared" si="21"/>
        <v>36685926.509999998</v>
      </c>
    </row>
    <row r="143" spans="1:19" x14ac:dyDescent="0.25">
      <c r="A143" s="24" t="s">
        <v>215</v>
      </c>
      <c r="B143" s="24" t="s">
        <v>245</v>
      </c>
      <c r="C143" s="19">
        <v>100000</v>
      </c>
      <c r="D143" s="19"/>
      <c r="E143" s="19">
        <f t="shared" si="19"/>
        <v>100000</v>
      </c>
      <c r="F143" s="19"/>
      <c r="G143" s="19">
        <v>13564.1</v>
      </c>
      <c r="H143" s="19"/>
      <c r="I143" s="19"/>
      <c r="J143" s="19"/>
      <c r="K143" s="19"/>
      <c r="L143" s="19"/>
      <c r="M143" s="19"/>
      <c r="N143" s="19"/>
      <c r="O143" s="19"/>
      <c r="P143" s="19"/>
      <c r="Q143" s="19"/>
      <c r="R143" s="19">
        <f t="shared" si="20"/>
        <v>13564.1</v>
      </c>
      <c r="S143" s="19">
        <f t="shared" si="21"/>
        <v>86435.9</v>
      </c>
    </row>
    <row r="144" spans="1:19" x14ac:dyDescent="0.25">
      <c r="A144" s="24" t="s">
        <v>85</v>
      </c>
      <c r="B144" s="24" t="s">
        <v>185</v>
      </c>
      <c r="C144" s="19">
        <v>2000000</v>
      </c>
      <c r="D144" s="19">
        <v>5638136.9299999997</v>
      </c>
      <c r="E144" s="19">
        <f t="shared" si="19"/>
        <v>7638136.9299999997</v>
      </c>
      <c r="F144" s="19">
        <v>7638136.9299999997</v>
      </c>
      <c r="G144" s="19">
        <v>0</v>
      </c>
      <c r="H144" s="19"/>
      <c r="I144" s="19"/>
      <c r="J144" s="19"/>
      <c r="K144" s="19"/>
      <c r="L144" s="19"/>
      <c r="M144" s="19"/>
      <c r="N144" s="19"/>
      <c r="O144" s="19"/>
      <c r="P144" s="19"/>
      <c r="Q144" s="19"/>
      <c r="R144" s="19">
        <f t="shared" si="20"/>
        <v>7638136.9299999997</v>
      </c>
      <c r="S144" s="19">
        <f t="shared" si="21"/>
        <v>0</v>
      </c>
    </row>
    <row r="145" spans="1:19" x14ac:dyDescent="0.25">
      <c r="A145" s="24" t="s">
        <v>86</v>
      </c>
      <c r="B145" s="24" t="s">
        <v>186</v>
      </c>
      <c r="C145" s="19">
        <v>2000000</v>
      </c>
      <c r="D145" s="19"/>
      <c r="E145" s="19">
        <f t="shared" si="19"/>
        <v>2000000</v>
      </c>
      <c r="F145" s="19"/>
      <c r="G145" s="19">
        <v>0</v>
      </c>
      <c r="H145" s="19"/>
      <c r="I145" s="19"/>
      <c r="J145" s="19"/>
      <c r="K145" s="19"/>
      <c r="L145" s="19"/>
      <c r="M145" s="19"/>
      <c r="N145" s="19"/>
      <c r="O145" s="19"/>
      <c r="P145" s="19"/>
      <c r="Q145" s="19"/>
      <c r="R145" s="19">
        <f t="shared" si="20"/>
        <v>0</v>
      </c>
      <c r="S145" s="19">
        <f t="shared" si="21"/>
        <v>2000000</v>
      </c>
    </row>
    <row r="146" spans="1:19" x14ac:dyDescent="0.25">
      <c r="A146" s="24" t="s">
        <v>333</v>
      </c>
      <c r="B146" s="24" t="s">
        <v>334</v>
      </c>
      <c r="C146" s="19">
        <v>3000000</v>
      </c>
      <c r="D146" s="19">
        <f>-626400-600017.7+1602711.45</f>
        <v>376293.75</v>
      </c>
      <c r="E146" s="19">
        <f t="shared" si="19"/>
        <v>3376293.75</v>
      </c>
      <c r="F146" s="19"/>
      <c r="G146" s="19">
        <v>0</v>
      </c>
      <c r="H146" s="19"/>
      <c r="I146" s="19"/>
      <c r="J146" s="19">
        <v>3376293.75</v>
      </c>
      <c r="K146" s="19"/>
      <c r="L146" s="19"/>
      <c r="M146" s="19"/>
      <c r="N146" s="19"/>
      <c r="O146" s="19"/>
      <c r="P146" s="19"/>
      <c r="Q146" s="19"/>
      <c r="R146" s="19">
        <f t="shared" si="20"/>
        <v>3376293.75</v>
      </c>
      <c r="S146" s="19">
        <f t="shared" si="21"/>
        <v>0</v>
      </c>
    </row>
    <row r="147" spans="1:19" x14ac:dyDescent="0.25">
      <c r="A147" s="24" t="s">
        <v>335</v>
      </c>
      <c r="B147" s="24" t="s">
        <v>336</v>
      </c>
      <c r="C147" s="19">
        <v>0</v>
      </c>
      <c r="D147" s="19">
        <v>626400</v>
      </c>
      <c r="E147" s="19">
        <f t="shared" si="19"/>
        <v>626400</v>
      </c>
      <c r="F147" s="19"/>
      <c r="G147" s="19"/>
      <c r="H147" s="19">
        <v>626400</v>
      </c>
      <c r="I147" s="19"/>
      <c r="J147" s="19"/>
      <c r="K147" s="19"/>
      <c r="L147" s="19"/>
      <c r="M147" s="19"/>
      <c r="N147" s="19"/>
      <c r="O147" s="19"/>
      <c r="P147" s="19"/>
      <c r="Q147" s="19"/>
      <c r="R147" s="19">
        <f t="shared" si="20"/>
        <v>626400</v>
      </c>
      <c r="S147" s="19">
        <f t="shared" si="21"/>
        <v>0</v>
      </c>
    </row>
    <row r="148" spans="1:19" x14ac:dyDescent="0.25">
      <c r="A148" s="24" t="s">
        <v>364</v>
      </c>
      <c r="B148" s="24" t="s">
        <v>365</v>
      </c>
      <c r="C148" s="19">
        <v>0</v>
      </c>
      <c r="D148" s="19">
        <v>600017.69999999995</v>
      </c>
      <c r="E148" s="19">
        <f t="shared" si="19"/>
        <v>600017.69999999995</v>
      </c>
      <c r="F148" s="19"/>
      <c r="G148" s="19"/>
      <c r="H148" s="19">
        <v>600017.69999999995</v>
      </c>
      <c r="I148" s="19"/>
      <c r="J148" s="19"/>
      <c r="K148" s="19"/>
      <c r="L148" s="19"/>
      <c r="M148" s="19"/>
      <c r="N148" s="19"/>
      <c r="O148" s="19"/>
      <c r="P148" s="19"/>
      <c r="Q148" s="19"/>
      <c r="R148" s="19">
        <f t="shared" si="20"/>
        <v>600017.69999999995</v>
      </c>
      <c r="S148" s="19">
        <f t="shared" si="21"/>
        <v>0</v>
      </c>
    </row>
    <row r="149" spans="1:19" x14ac:dyDescent="0.25">
      <c r="A149" s="24" t="s">
        <v>87</v>
      </c>
      <c r="B149" s="24" t="s">
        <v>187</v>
      </c>
      <c r="C149" s="19">
        <v>100000</v>
      </c>
      <c r="D149" s="19"/>
      <c r="E149" s="19">
        <f t="shared" si="19"/>
        <v>100000</v>
      </c>
      <c r="F149" s="19">
        <v>20827</v>
      </c>
      <c r="G149" s="19"/>
      <c r="H149" s="19">
        <v>10693.65</v>
      </c>
      <c r="I149" s="19"/>
      <c r="J149" s="19"/>
      <c r="K149" s="19"/>
      <c r="L149" s="19"/>
      <c r="M149" s="19"/>
      <c r="N149" s="19"/>
      <c r="O149" s="19"/>
      <c r="P149" s="19"/>
      <c r="Q149" s="19"/>
      <c r="R149" s="19">
        <f t="shared" si="20"/>
        <v>31520.65</v>
      </c>
      <c r="S149" s="19">
        <f t="shared" si="21"/>
        <v>68479.350000000006</v>
      </c>
    </row>
    <row r="150" spans="1:19" x14ac:dyDescent="0.25">
      <c r="A150" s="24" t="s">
        <v>88</v>
      </c>
      <c r="B150" s="24" t="s">
        <v>188</v>
      </c>
      <c r="C150" s="19">
        <v>5000000</v>
      </c>
      <c r="D150" s="19"/>
      <c r="E150" s="19">
        <f t="shared" si="19"/>
        <v>5000000</v>
      </c>
      <c r="F150" s="19">
        <v>1273262.46</v>
      </c>
      <c r="G150" s="19">
        <v>1882100</v>
      </c>
      <c r="H150" s="19"/>
      <c r="I150" s="19"/>
      <c r="J150" s="19"/>
      <c r="K150" s="19"/>
      <c r="L150" s="19"/>
      <c r="M150" s="19"/>
      <c r="N150" s="19"/>
      <c r="O150" s="19"/>
      <c r="P150" s="19"/>
      <c r="Q150" s="19"/>
      <c r="R150" s="19">
        <f t="shared" si="20"/>
        <v>3155362.46</v>
      </c>
      <c r="S150" s="19">
        <f t="shared" si="21"/>
        <v>1844637.54</v>
      </c>
    </row>
    <row r="151" spans="1:19" x14ac:dyDescent="0.25">
      <c r="A151" s="24" t="s">
        <v>89</v>
      </c>
      <c r="B151" s="24" t="s">
        <v>189</v>
      </c>
      <c r="C151" s="19">
        <v>1000000</v>
      </c>
      <c r="D151" s="19"/>
      <c r="E151" s="19">
        <f t="shared" si="19"/>
        <v>1000000</v>
      </c>
      <c r="F151" s="19"/>
      <c r="G151" s="19"/>
      <c r="H151" s="19"/>
      <c r="I151" s="19"/>
      <c r="J151" s="19"/>
      <c r="K151" s="19"/>
      <c r="L151" s="19"/>
      <c r="M151" s="19"/>
      <c r="N151" s="19"/>
      <c r="O151" s="19"/>
      <c r="P151" s="19"/>
      <c r="Q151" s="19"/>
      <c r="R151" s="19">
        <f t="shared" si="20"/>
        <v>0</v>
      </c>
      <c r="S151" s="19">
        <f t="shared" si="21"/>
        <v>1000000</v>
      </c>
    </row>
    <row r="152" spans="1:19" x14ac:dyDescent="0.25">
      <c r="A152" s="24" t="s">
        <v>90</v>
      </c>
      <c r="B152" s="24" t="s">
        <v>190</v>
      </c>
      <c r="C152" s="19">
        <v>4000000</v>
      </c>
      <c r="D152" s="19"/>
      <c r="E152" s="19">
        <f t="shared" si="19"/>
        <v>4000000</v>
      </c>
      <c r="F152" s="19"/>
      <c r="G152" s="19"/>
      <c r="H152" s="19"/>
      <c r="I152" s="19"/>
      <c r="J152" s="19"/>
      <c r="K152" s="19"/>
      <c r="L152" s="19"/>
      <c r="M152" s="19"/>
      <c r="N152" s="19"/>
      <c r="O152" s="19"/>
      <c r="P152" s="19"/>
      <c r="Q152" s="19"/>
      <c r="R152" s="19">
        <f t="shared" si="20"/>
        <v>0</v>
      </c>
      <c r="S152" s="19">
        <f t="shared" si="21"/>
        <v>4000000</v>
      </c>
    </row>
    <row r="153" spans="1:19" x14ac:dyDescent="0.25">
      <c r="A153" s="24" t="s">
        <v>91</v>
      </c>
      <c r="B153" s="24" t="s">
        <v>191</v>
      </c>
      <c r="C153" s="19">
        <v>300000</v>
      </c>
      <c r="D153" s="19"/>
      <c r="E153" s="19">
        <f t="shared" si="19"/>
        <v>300000</v>
      </c>
      <c r="F153" s="19">
        <v>8434.64</v>
      </c>
      <c r="G153" s="19"/>
      <c r="H153" s="19"/>
      <c r="I153" s="19"/>
      <c r="J153" s="19"/>
      <c r="K153" s="19"/>
      <c r="L153" s="19"/>
      <c r="M153" s="19"/>
      <c r="N153" s="19"/>
      <c r="O153" s="19"/>
      <c r="P153" s="19"/>
      <c r="Q153" s="19"/>
      <c r="R153" s="19">
        <f t="shared" si="20"/>
        <v>8434.64</v>
      </c>
      <c r="S153" s="19">
        <f t="shared" si="21"/>
        <v>291565.36</v>
      </c>
    </row>
    <row r="154" spans="1:19" x14ac:dyDescent="0.25">
      <c r="A154" s="24" t="s">
        <v>316</v>
      </c>
      <c r="B154" s="24" t="s">
        <v>317</v>
      </c>
      <c r="C154" s="19">
        <v>10000000</v>
      </c>
      <c r="D154" s="19"/>
      <c r="E154" s="19">
        <f t="shared" si="19"/>
        <v>10000000</v>
      </c>
      <c r="F154" s="19"/>
      <c r="G154" s="19">
        <v>6931.83</v>
      </c>
      <c r="H154" s="19"/>
      <c r="I154" s="19">
        <v>9097.7999999999993</v>
      </c>
      <c r="J154" s="19">
        <v>34291.040000000001</v>
      </c>
      <c r="K154" s="19"/>
      <c r="L154" s="19"/>
      <c r="M154" s="19"/>
      <c r="N154" s="19"/>
      <c r="O154" s="19"/>
      <c r="P154" s="19"/>
      <c r="Q154" s="19"/>
      <c r="R154" s="19">
        <f t="shared" si="20"/>
        <v>50320.67</v>
      </c>
      <c r="S154" s="19">
        <f t="shared" si="21"/>
        <v>9949679.3300000001</v>
      </c>
    </row>
    <row r="155" spans="1:19" x14ac:dyDescent="0.25">
      <c r="A155" s="24" t="s">
        <v>272</v>
      </c>
      <c r="B155" s="24" t="s">
        <v>273</v>
      </c>
      <c r="C155" s="19">
        <v>20000000</v>
      </c>
      <c r="D155" s="19"/>
      <c r="E155" s="19">
        <f t="shared" si="19"/>
        <v>20000000</v>
      </c>
      <c r="F155" s="19"/>
      <c r="G155" s="19">
        <v>36816</v>
      </c>
      <c r="H155" s="19"/>
      <c r="I155" s="19"/>
      <c r="J155" s="19"/>
      <c r="K155" s="19"/>
      <c r="L155" s="19"/>
      <c r="M155" s="19"/>
      <c r="N155" s="19"/>
      <c r="O155" s="19"/>
      <c r="P155" s="19"/>
      <c r="Q155" s="19"/>
      <c r="R155" s="19">
        <f t="shared" si="20"/>
        <v>36816</v>
      </c>
      <c r="S155" s="19">
        <f t="shared" si="21"/>
        <v>19963184</v>
      </c>
    </row>
    <row r="156" spans="1:19" x14ac:dyDescent="0.25">
      <c r="A156" s="24" t="s">
        <v>92</v>
      </c>
      <c r="B156" s="24" t="s">
        <v>192</v>
      </c>
      <c r="C156" s="19">
        <v>15000000</v>
      </c>
      <c r="D156" s="19"/>
      <c r="E156" s="19">
        <f t="shared" si="19"/>
        <v>15000000</v>
      </c>
      <c r="F156" s="19"/>
      <c r="G156" s="19"/>
      <c r="H156" s="19"/>
      <c r="I156" s="19"/>
      <c r="J156" s="19"/>
      <c r="K156" s="19"/>
      <c r="L156" s="19"/>
      <c r="M156" s="19"/>
      <c r="N156" s="19"/>
      <c r="O156" s="19"/>
      <c r="P156" s="19"/>
      <c r="Q156" s="19"/>
      <c r="R156" s="19">
        <f t="shared" si="20"/>
        <v>0</v>
      </c>
      <c r="S156" s="19">
        <f t="shared" si="21"/>
        <v>15000000</v>
      </c>
    </row>
    <row r="157" spans="1:19" x14ac:dyDescent="0.25">
      <c r="A157" s="24" t="s">
        <v>93</v>
      </c>
      <c r="B157" s="24" t="s">
        <v>193</v>
      </c>
      <c r="C157" s="19">
        <v>20000000</v>
      </c>
      <c r="D157" s="19"/>
      <c r="E157" s="19">
        <f t="shared" si="19"/>
        <v>20000000</v>
      </c>
      <c r="F157" s="19"/>
      <c r="G157" s="19"/>
      <c r="H157" s="19"/>
      <c r="I157" s="19">
        <v>202071.95</v>
      </c>
      <c r="J157" s="19">
        <v>1479603.73</v>
      </c>
      <c r="K157" s="19"/>
      <c r="L157" s="19"/>
      <c r="M157" s="19"/>
      <c r="N157" s="19"/>
      <c r="O157" s="19"/>
      <c r="P157" s="19"/>
      <c r="Q157" s="19"/>
      <c r="R157" s="19">
        <f t="shared" si="20"/>
        <v>1681675.68</v>
      </c>
      <c r="S157" s="19">
        <f t="shared" si="21"/>
        <v>18318324.32</v>
      </c>
    </row>
    <row r="158" spans="1:19" x14ac:dyDescent="0.25">
      <c r="A158" s="30" t="s">
        <v>94</v>
      </c>
      <c r="B158" s="30" t="s">
        <v>194</v>
      </c>
      <c r="C158" s="20">
        <v>25019079</v>
      </c>
      <c r="D158" s="20"/>
      <c r="E158" s="20">
        <f t="shared" si="19"/>
        <v>25019079</v>
      </c>
      <c r="F158" s="20"/>
      <c r="G158" s="20"/>
      <c r="H158" s="20">
        <v>12390</v>
      </c>
      <c r="I158" s="20"/>
      <c r="J158" s="20"/>
      <c r="K158" s="20"/>
      <c r="L158" s="20"/>
      <c r="M158" s="20"/>
      <c r="N158" s="20"/>
      <c r="O158" s="20"/>
      <c r="P158" s="20"/>
      <c r="Q158" s="20"/>
      <c r="R158" s="20">
        <f t="shared" si="20"/>
        <v>12390</v>
      </c>
      <c r="S158" s="20">
        <f t="shared" si="21"/>
        <v>25006689</v>
      </c>
    </row>
    <row r="159" spans="1:19" x14ac:dyDescent="0.25">
      <c r="A159" s="6" t="s">
        <v>251</v>
      </c>
      <c r="B159" s="6"/>
      <c r="C159" s="17">
        <f t="shared" ref="C159:S159" si="22">SUM(C136:C158)</f>
        <v>395686618</v>
      </c>
      <c r="D159" s="17">
        <f t="shared" si="22"/>
        <v>-23841957.080000002</v>
      </c>
      <c r="E159" s="17">
        <f t="shared" si="22"/>
        <v>371844660.92000002</v>
      </c>
      <c r="F159" s="17">
        <f t="shared" si="22"/>
        <v>11313071.77</v>
      </c>
      <c r="G159" s="17">
        <f t="shared" si="22"/>
        <v>3451371.3100000005</v>
      </c>
      <c r="H159" s="17">
        <f t="shared" si="22"/>
        <v>12020471.109999999</v>
      </c>
      <c r="I159" s="17">
        <f t="shared" si="22"/>
        <v>3542990.18</v>
      </c>
      <c r="J159" s="17">
        <f t="shared" ref="J159" si="23">SUM(J136:J158)</f>
        <v>7094238.379999999</v>
      </c>
      <c r="K159" s="17">
        <f t="shared" si="22"/>
        <v>0</v>
      </c>
      <c r="L159" s="17">
        <f t="shared" si="22"/>
        <v>0</v>
      </c>
      <c r="M159" s="17">
        <f t="shared" si="22"/>
        <v>0</v>
      </c>
      <c r="N159" s="17">
        <f t="shared" si="22"/>
        <v>0</v>
      </c>
      <c r="O159" s="17">
        <f t="shared" si="22"/>
        <v>0</v>
      </c>
      <c r="P159" s="17">
        <f t="shared" si="22"/>
        <v>0</v>
      </c>
      <c r="Q159" s="17">
        <f t="shared" si="22"/>
        <v>0</v>
      </c>
      <c r="R159" s="17">
        <f t="shared" si="22"/>
        <v>37422142.75</v>
      </c>
      <c r="S159" s="17">
        <f t="shared" si="22"/>
        <v>334422518.17000002</v>
      </c>
    </row>
    <row r="160" spans="1:19" x14ac:dyDescent="0.25">
      <c r="A160" s="24"/>
      <c r="B160" s="24"/>
      <c r="C160" s="19"/>
      <c r="D160" s="19"/>
      <c r="E160" s="19"/>
      <c r="F160" s="19"/>
      <c r="G160" s="19"/>
      <c r="H160" s="19"/>
      <c r="I160" s="19"/>
      <c r="J160" s="19"/>
      <c r="K160" s="19"/>
      <c r="L160" s="19"/>
      <c r="M160" s="19"/>
      <c r="N160" s="19"/>
      <c r="O160" s="19"/>
      <c r="P160" s="19"/>
      <c r="Q160" s="19"/>
      <c r="R160" s="24"/>
      <c r="S160" s="24"/>
    </row>
    <row r="161" spans="1:19" x14ac:dyDescent="0.25">
      <c r="A161" s="24"/>
      <c r="B161" s="24"/>
      <c r="C161" s="19"/>
      <c r="D161" s="19"/>
      <c r="E161" s="19"/>
      <c r="F161" s="19"/>
      <c r="G161" s="19"/>
      <c r="H161" s="19"/>
      <c r="I161" s="19"/>
      <c r="J161" s="19"/>
      <c r="K161" s="19"/>
      <c r="L161" s="19"/>
      <c r="M161" s="19"/>
      <c r="N161" s="19"/>
      <c r="O161" s="19"/>
      <c r="P161" s="19"/>
      <c r="Q161" s="19"/>
      <c r="R161" s="24"/>
      <c r="S161" s="24"/>
    </row>
    <row r="162" spans="1:19" x14ac:dyDescent="0.25">
      <c r="A162" s="30" t="s">
        <v>196</v>
      </c>
      <c r="B162" s="30" t="s">
        <v>195</v>
      </c>
      <c r="C162" s="20">
        <v>15000000</v>
      </c>
      <c r="D162" s="20"/>
      <c r="E162" s="20">
        <f t="shared" ref="E162" si="24">+C162+D162</f>
        <v>15000000</v>
      </c>
      <c r="F162" s="20">
        <v>0</v>
      </c>
      <c r="G162" s="20">
        <v>6133215.9900000002</v>
      </c>
      <c r="H162" s="20"/>
      <c r="I162" s="20"/>
      <c r="J162" s="20"/>
      <c r="K162" s="20"/>
      <c r="L162" s="20"/>
      <c r="M162" s="20"/>
      <c r="N162" s="20"/>
      <c r="O162" s="20"/>
      <c r="P162" s="20"/>
      <c r="Q162" s="20"/>
      <c r="R162" s="20">
        <f>SUM(F162:Q162)</f>
        <v>6133215.9900000002</v>
      </c>
      <c r="S162" s="20">
        <f>+E162-R162</f>
        <v>8866784.0099999998</v>
      </c>
    </row>
    <row r="163" spans="1:19" x14ac:dyDescent="0.25">
      <c r="A163" s="6" t="s">
        <v>252</v>
      </c>
      <c r="B163" s="6"/>
      <c r="C163" s="17">
        <f>SUM(C162)</f>
        <v>15000000</v>
      </c>
      <c r="D163" s="17">
        <f t="shared" ref="D163:E163" si="25">SUM(D162)</f>
        <v>0</v>
      </c>
      <c r="E163" s="17">
        <f t="shared" si="25"/>
        <v>15000000</v>
      </c>
      <c r="F163" s="19">
        <f>SUM(F162)</f>
        <v>0</v>
      </c>
      <c r="G163" s="17">
        <f>SUM(G162)</f>
        <v>6133215.9900000002</v>
      </c>
      <c r="H163" s="17">
        <f>SUM(H162)</f>
        <v>0</v>
      </c>
      <c r="I163" s="17"/>
      <c r="J163" s="17"/>
      <c r="K163" s="17"/>
      <c r="L163" s="17"/>
      <c r="M163" s="17">
        <f>SUM(M162)</f>
        <v>0</v>
      </c>
      <c r="N163" s="17"/>
      <c r="O163" s="17"/>
      <c r="P163" s="17"/>
      <c r="Q163" s="17"/>
      <c r="R163" s="17">
        <f>SUM(R162)</f>
        <v>6133215.9900000002</v>
      </c>
      <c r="S163" s="17">
        <f>SUM(S162)</f>
        <v>8866784.0099999998</v>
      </c>
    </row>
    <row r="164" spans="1:19" x14ac:dyDescent="0.25">
      <c r="A164" s="6"/>
      <c r="B164" s="6"/>
      <c r="C164" s="17"/>
      <c r="D164" s="19"/>
      <c r="E164" s="19"/>
      <c r="F164" s="19"/>
      <c r="G164" s="19"/>
      <c r="H164" s="19"/>
      <c r="I164" s="19"/>
      <c r="J164" s="19"/>
      <c r="K164" s="19"/>
      <c r="L164" s="19"/>
      <c r="M164" s="19"/>
      <c r="N164" s="19"/>
      <c r="O164" s="19"/>
      <c r="P164" s="19"/>
      <c r="Q164" s="19"/>
      <c r="R164" s="24"/>
      <c r="S164" s="24"/>
    </row>
    <row r="165" spans="1:19" x14ac:dyDescent="0.25">
      <c r="A165" s="24"/>
      <c r="B165" s="24"/>
      <c r="C165" s="19"/>
      <c r="D165" s="19"/>
      <c r="E165" s="19"/>
      <c r="F165" s="19"/>
      <c r="G165" s="19"/>
      <c r="H165" s="19"/>
      <c r="I165" s="19"/>
      <c r="J165" s="19"/>
      <c r="K165" s="19"/>
      <c r="L165" s="19"/>
      <c r="M165" s="19"/>
      <c r="N165" s="19"/>
      <c r="O165" s="19"/>
      <c r="P165" s="19"/>
      <c r="Q165" s="19"/>
      <c r="R165" s="24"/>
      <c r="S165" s="24"/>
    </row>
    <row r="166" spans="1:19" x14ac:dyDescent="0.25">
      <c r="A166" s="24" t="s">
        <v>96</v>
      </c>
      <c r="B166" s="24" t="s">
        <v>337</v>
      </c>
      <c r="C166" s="19">
        <v>7552986</v>
      </c>
      <c r="D166" s="19"/>
      <c r="E166" s="19">
        <f t="shared" ref="E166:E179" si="26">+C166+D166</f>
        <v>7552986</v>
      </c>
      <c r="F166" s="19">
        <v>165400</v>
      </c>
      <c r="G166" s="19">
        <v>1186935</v>
      </c>
      <c r="H166" s="19">
        <v>370800</v>
      </c>
      <c r="I166" s="19">
        <v>260400</v>
      </c>
      <c r="J166" s="19">
        <v>230400</v>
      </c>
      <c r="K166" s="19"/>
      <c r="L166" s="19"/>
      <c r="M166" s="19"/>
      <c r="N166" s="19"/>
      <c r="O166" s="19"/>
      <c r="P166" s="19"/>
      <c r="Q166" s="19"/>
      <c r="R166" s="19">
        <f t="shared" ref="R166:R179" si="27">SUM(F166:Q166)</f>
        <v>2213935</v>
      </c>
      <c r="S166" s="19">
        <f t="shared" ref="S166:S179" si="28">+E166-R166</f>
        <v>5339051</v>
      </c>
    </row>
    <row r="167" spans="1:19" x14ac:dyDescent="0.25">
      <c r="A167" s="24" t="s">
        <v>97</v>
      </c>
      <c r="B167" s="24" t="s">
        <v>338</v>
      </c>
      <c r="C167" s="19">
        <v>96000000</v>
      </c>
      <c r="D167" s="19">
        <f>-2362440.79-200000-100000-6500000-89000-6200000</f>
        <v>-15451440.789999999</v>
      </c>
      <c r="E167" s="19">
        <f t="shared" si="26"/>
        <v>80548559.210000008</v>
      </c>
      <c r="F167" s="19">
        <v>2687250</v>
      </c>
      <c r="G167" s="19"/>
      <c r="H167" s="19">
        <v>400870</v>
      </c>
      <c r="I167" s="19">
        <v>3430935</v>
      </c>
      <c r="J167" s="19">
        <v>210935</v>
      </c>
      <c r="K167" s="19"/>
      <c r="L167" s="19"/>
      <c r="M167" s="19"/>
      <c r="N167" s="19"/>
      <c r="O167" s="19"/>
      <c r="P167" s="19"/>
      <c r="Q167" s="19"/>
      <c r="R167" s="19">
        <f t="shared" si="27"/>
        <v>6729990</v>
      </c>
      <c r="S167" s="19">
        <f t="shared" si="28"/>
        <v>73818569.210000008</v>
      </c>
    </row>
    <row r="168" spans="1:19" x14ac:dyDescent="0.25">
      <c r="A168" s="24" t="s">
        <v>98</v>
      </c>
      <c r="B168" s="24" t="s">
        <v>199</v>
      </c>
      <c r="C168" s="19">
        <v>43000000</v>
      </c>
      <c r="D168" s="19">
        <v>-718257</v>
      </c>
      <c r="E168" s="19">
        <f t="shared" si="26"/>
        <v>42281743</v>
      </c>
      <c r="F168" s="19">
        <v>191107.94</v>
      </c>
      <c r="G168" s="19">
        <v>93801</v>
      </c>
      <c r="H168" s="19"/>
      <c r="I168" s="19">
        <v>125446.6</v>
      </c>
      <c r="J168" s="19">
        <v>218981</v>
      </c>
      <c r="K168" s="19"/>
      <c r="L168" s="19"/>
      <c r="M168" s="19"/>
      <c r="N168" s="19"/>
      <c r="O168" s="19"/>
      <c r="P168" s="19"/>
      <c r="Q168" s="19"/>
      <c r="R168" s="19">
        <f t="shared" si="27"/>
        <v>629336.54</v>
      </c>
      <c r="S168" s="19">
        <f t="shared" si="28"/>
        <v>41652406.460000001</v>
      </c>
    </row>
    <row r="169" spans="1:19" x14ac:dyDescent="0.25">
      <c r="A169" s="24" t="s">
        <v>99</v>
      </c>
      <c r="B169" s="24" t="s">
        <v>200</v>
      </c>
      <c r="C169" s="19">
        <v>10000000</v>
      </c>
      <c r="D169" s="19"/>
      <c r="E169" s="19">
        <f t="shared" si="26"/>
        <v>10000000</v>
      </c>
      <c r="F169" s="19"/>
      <c r="G169" s="19"/>
      <c r="H169" s="19"/>
      <c r="I169" s="19"/>
      <c r="J169" s="19"/>
      <c r="K169" s="19"/>
      <c r="L169" s="19"/>
      <c r="M169" s="19"/>
      <c r="N169" s="19"/>
      <c r="O169" s="19"/>
      <c r="P169" s="19"/>
      <c r="Q169" s="19"/>
      <c r="R169" s="19">
        <f t="shared" si="27"/>
        <v>0</v>
      </c>
      <c r="S169" s="19">
        <f t="shared" si="28"/>
        <v>10000000</v>
      </c>
    </row>
    <row r="170" spans="1:19" x14ac:dyDescent="0.25">
      <c r="A170" s="24" t="s">
        <v>311</v>
      </c>
      <c r="B170" s="24" t="s">
        <v>312</v>
      </c>
      <c r="C170" s="19">
        <v>0</v>
      </c>
      <c r="D170" s="19"/>
      <c r="E170" s="19">
        <f t="shared" si="26"/>
        <v>0</v>
      </c>
      <c r="F170" s="19"/>
      <c r="G170" s="19"/>
      <c r="H170" s="19"/>
      <c r="I170" s="19"/>
      <c r="J170" s="19"/>
      <c r="K170" s="19"/>
      <c r="L170" s="19"/>
      <c r="M170" s="19"/>
      <c r="N170" s="19"/>
      <c r="O170" s="19"/>
      <c r="P170" s="19"/>
      <c r="Q170" s="19"/>
      <c r="R170" s="19">
        <f t="shared" si="27"/>
        <v>0</v>
      </c>
      <c r="S170" s="19">
        <f t="shared" si="28"/>
        <v>0</v>
      </c>
    </row>
    <row r="171" spans="1:19" x14ac:dyDescent="0.25">
      <c r="A171" s="24" t="s">
        <v>100</v>
      </c>
      <c r="B171" s="24" t="s">
        <v>201</v>
      </c>
      <c r="C171" s="19">
        <v>15400000</v>
      </c>
      <c r="D171" s="19"/>
      <c r="E171" s="19">
        <f t="shared" si="26"/>
        <v>15400000</v>
      </c>
      <c r="F171" s="19">
        <v>937500</v>
      </c>
      <c r="G171" s="19">
        <v>926936.98</v>
      </c>
      <c r="H171" s="19">
        <v>3695000</v>
      </c>
      <c r="I171" s="19">
        <v>935400</v>
      </c>
      <c r="J171" s="19">
        <v>2445400</v>
      </c>
      <c r="K171" s="19"/>
      <c r="L171" s="19"/>
      <c r="M171" s="19"/>
      <c r="N171" s="19"/>
      <c r="O171" s="19"/>
      <c r="P171" s="19"/>
      <c r="Q171" s="19"/>
      <c r="R171" s="19">
        <f t="shared" si="27"/>
        <v>8940236.9800000004</v>
      </c>
      <c r="S171" s="19">
        <f t="shared" si="28"/>
        <v>6459763.0199999996</v>
      </c>
    </row>
    <row r="172" spans="1:19" x14ac:dyDescent="0.25">
      <c r="A172" s="24" t="s">
        <v>352</v>
      </c>
      <c r="B172" s="24" t="s">
        <v>353</v>
      </c>
      <c r="C172" s="19"/>
      <c r="D172" s="19"/>
      <c r="E172" s="19">
        <f t="shared" si="26"/>
        <v>0</v>
      </c>
      <c r="F172" s="19"/>
      <c r="G172" s="19"/>
      <c r="H172" s="19"/>
      <c r="I172" s="19"/>
      <c r="J172" s="19"/>
      <c r="K172" s="19"/>
      <c r="L172" s="19"/>
      <c r="M172" s="19"/>
      <c r="N172" s="19"/>
      <c r="O172" s="19"/>
      <c r="P172" s="19"/>
      <c r="Q172" s="19"/>
      <c r="R172" s="19">
        <f t="shared" si="27"/>
        <v>0</v>
      </c>
      <c r="S172" s="19">
        <f t="shared" si="28"/>
        <v>0</v>
      </c>
    </row>
    <row r="173" spans="1:19" x14ac:dyDescent="0.25">
      <c r="A173" s="24" t="s">
        <v>354</v>
      </c>
      <c r="B173" s="24" t="s">
        <v>355</v>
      </c>
      <c r="C173" s="19">
        <v>29500000</v>
      </c>
      <c r="D173" s="19">
        <f>2362440.79+6500000+6200000</f>
        <v>15062440.789999999</v>
      </c>
      <c r="E173" s="19">
        <f t="shared" si="26"/>
        <v>44562440.789999999</v>
      </c>
      <c r="F173" s="19">
        <v>13611387.07</v>
      </c>
      <c r="G173" s="19">
        <v>251053.72</v>
      </c>
      <c r="H173" s="19">
        <v>18000000</v>
      </c>
      <c r="I173" s="19">
        <v>6500000</v>
      </c>
      <c r="J173" s="19">
        <v>6200000</v>
      </c>
      <c r="K173" s="19"/>
      <c r="L173" s="19"/>
      <c r="M173" s="19"/>
      <c r="N173" s="19"/>
      <c r="O173" s="19"/>
      <c r="P173" s="19"/>
      <c r="Q173" s="19"/>
      <c r="R173" s="19">
        <f t="shared" si="27"/>
        <v>44562440.789999999</v>
      </c>
      <c r="S173" s="19">
        <f t="shared" si="28"/>
        <v>0</v>
      </c>
    </row>
    <row r="174" spans="1:19" x14ac:dyDescent="0.25">
      <c r="A174" s="24" t="s">
        <v>362</v>
      </c>
      <c r="B174" s="24" t="s">
        <v>363</v>
      </c>
      <c r="C174" s="19"/>
      <c r="D174" s="19">
        <f>200000+89000</f>
        <v>289000</v>
      </c>
      <c r="E174" s="19">
        <f t="shared" si="26"/>
        <v>289000</v>
      </c>
      <c r="F174" s="19"/>
      <c r="G174" s="19"/>
      <c r="H174" s="19">
        <v>200000</v>
      </c>
      <c r="I174" s="19">
        <v>89000</v>
      </c>
      <c r="J174" s="19"/>
      <c r="K174" s="19"/>
      <c r="L174" s="19"/>
      <c r="M174" s="19"/>
      <c r="N174" s="19"/>
      <c r="O174" s="19"/>
      <c r="P174" s="19"/>
      <c r="Q174" s="19"/>
      <c r="R174" s="19">
        <f t="shared" si="27"/>
        <v>289000</v>
      </c>
      <c r="S174" s="19">
        <f t="shared" si="28"/>
        <v>0</v>
      </c>
    </row>
    <row r="175" spans="1:19" x14ac:dyDescent="0.25">
      <c r="A175" s="24" t="s">
        <v>227</v>
      </c>
      <c r="B175" s="24" t="s">
        <v>228</v>
      </c>
      <c r="C175" s="19"/>
      <c r="D175" s="19"/>
      <c r="E175" s="19">
        <f t="shared" si="26"/>
        <v>0</v>
      </c>
      <c r="F175" s="19"/>
      <c r="G175" s="19"/>
      <c r="H175" s="19"/>
      <c r="I175" s="19"/>
      <c r="J175" s="19"/>
      <c r="K175" s="19"/>
      <c r="L175" s="19"/>
      <c r="M175" s="19"/>
      <c r="N175" s="19"/>
      <c r="O175" s="19"/>
      <c r="P175" s="19"/>
      <c r="Q175" s="19"/>
      <c r="R175" s="19">
        <f t="shared" si="27"/>
        <v>0</v>
      </c>
      <c r="S175" s="19">
        <f t="shared" si="28"/>
        <v>0</v>
      </c>
    </row>
    <row r="176" spans="1:19" x14ac:dyDescent="0.25">
      <c r="A176" s="24" t="s">
        <v>101</v>
      </c>
      <c r="B176" s="24" t="s">
        <v>202</v>
      </c>
      <c r="C176" s="19">
        <v>360000</v>
      </c>
      <c r="D176" s="19">
        <f>3183000+100000</f>
        <v>3283000</v>
      </c>
      <c r="E176" s="19">
        <f t="shared" si="26"/>
        <v>3643000</v>
      </c>
      <c r="F176" s="19">
        <v>3543000</v>
      </c>
      <c r="G176" s="19"/>
      <c r="H176" s="19">
        <v>100000</v>
      </c>
      <c r="I176" s="19"/>
      <c r="J176" s="19"/>
      <c r="K176" s="19"/>
      <c r="L176" s="19"/>
      <c r="M176" s="19"/>
      <c r="N176" s="19"/>
      <c r="O176" s="19"/>
      <c r="P176" s="19"/>
      <c r="Q176" s="19"/>
      <c r="R176" s="19">
        <f t="shared" si="27"/>
        <v>3643000</v>
      </c>
      <c r="S176" s="19">
        <f t="shared" si="28"/>
        <v>0</v>
      </c>
    </row>
    <row r="177" spans="1:19" x14ac:dyDescent="0.25">
      <c r="A177" s="24" t="s">
        <v>274</v>
      </c>
      <c r="B177" s="24" t="s">
        <v>275</v>
      </c>
      <c r="C177" s="19"/>
      <c r="D177" s="19"/>
      <c r="E177" s="19">
        <f t="shared" si="26"/>
        <v>0</v>
      </c>
      <c r="F177" s="19"/>
      <c r="G177" s="19"/>
      <c r="H177" s="19"/>
      <c r="I177" s="19"/>
      <c r="J177" s="19"/>
      <c r="K177" s="19"/>
      <c r="L177" s="19"/>
      <c r="M177" s="19"/>
      <c r="N177" s="19"/>
      <c r="O177" s="19"/>
      <c r="P177" s="19"/>
      <c r="Q177" s="19"/>
      <c r="R177" s="19">
        <f t="shared" si="27"/>
        <v>0</v>
      </c>
      <c r="S177" s="19">
        <f t="shared" si="28"/>
        <v>0</v>
      </c>
    </row>
    <row r="178" spans="1:19" x14ac:dyDescent="0.25">
      <c r="A178" s="24" t="s">
        <v>313</v>
      </c>
      <c r="B178" s="24" t="s">
        <v>314</v>
      </c>
      <c r="C178" s="19"/>
      <c r="D178" s="19"/>
      <c r="E178" s="19">
        <f t="shared" si="26"/>
        <v>0</v>
      </c>
      <c r="F178" s="19"/>
      <c r="G178" s="19"/>
      <c r="H178" s="19"/>
      <c r="I178" s="19"/>
      <c r="J178" s="19"/>
      <c r="K178" s="19"/>
      <c r="L178" s="19"/>
      <c r="M178" s="19"/>
      <c r="N178" s="19"/>
      <c r="O178" s="19"/>
      <c r="P178" s="19"/>
      <c r="Q178" s="19"/>
      <c r="R178" s="19">
        <f t="shared" si="27"/>
        <v>0</v>
      </c>
      <c r="S178" s="19">
        <f t="shared" si="28"/>
        <v>0</v>
      </c>
    </row>
    <row r="179" spans="1:19" x14ac:dyDescent="0.25">
      <c r="A179" s="30" t="s">
        <v>102</v>
      </c>
      <c r="B179" s="30" t="s">
        <v>246</v>
      </c>
      <c r="C179" s="20">
        <v>1900000</v>
      </c>
      <c r="D179" s="20"/>
      <c r="E179" s="20">
        <f t="shared" si="26"/>
        <v>1900000</v>
      </c>
      <c r="F179" s="20"/>
      <c r="G179" s="20">
        <v>463050</v>
      </c>
      <c r="H179" s="20"/>
      <c r="I179" s="20"/>
      <c r="J179" s="20"/>
      <c r="K179" s="20"/>
      <c r="L179" s="20"/>
      <c r="M179" s="20"/>
      <c r="N179" s="20"/>
      <c r="O179" s="20"/>
      <c r="P179" s="20"/>
      <c r="Q179" s="20"/>
      <c r="R179" s="20">
        <f t="shared" si="27"/>
        <v>463050</v>
      </c>
      <c r="S179" s="20">
        <f t="shared" si="28"/>
        <v>1436950</v>
      </c>
    </row>
    <row r="180" spans="1:19" x14ac:dyDescent="0.25">
      <c r="A180" s="6" t="s">
        <v>253</v>
      </c>
      <c r="B180" s="6"/>
      <c r="C180" s="17">
        <f>SUM(C166:C179)</f>
        <v>203712986</v>
      </c>
      <c r="D180" s="17">
        <f t="shared" ref="D180:E180" si="29">SUM(D166:D179)</f>
        <v>2464743</v>
      </c>
      <c r="E180" s="17">
        <f t="shared" si="29"/>
        <v>206177729</v>
      </c>
      <c r="F180" s="17">
        <f t="shared" ref="F180:S180" si="30">SUM(F166:F179)</f>
        <v>21135645.010000002</v>
      </c>
      <c r="G180" s="17">
        <f t="shared" si="30"/>
        <v>2921776.7</v>
      </c>
      <c r="H180" s="17">
        <f t="shared" si="30"/>
        <v>22766670</v>
      </c>
      <c r="I180" s="17">
        <f t="shared" si="30"/>
        <v>11341181.6</v>
      </c>
      <c r="J180" s="17">
        <f t="shared" ref="J180" si="31">SUM(J166:J179)</f>
        <v>9305716</v>
      </c>
      <c r="K180" s="17">
        <f t="shared" si="30"/>
        <v>0</v>
      </c>
      <c r="L180" s="17">
        <f t="shared" si="30"/>
        <v>0</v>
      </c>
      <c r="M180" s="17">
        <f t="shared" si="30"/>
        <v>0</v>
      </c>
      <c r="N180" s="17">
        <f t="shared" si="30"/>
        <v>0</v>
      </c>
      <c r="O180" s="17">
        <f t="shared" si="30"/>
        <v>0</v>
      </c>
      <c r="P180" s="17">
        <f t="shared" si="30"/>
        <v>0</v>
      </c>
      <c r="Q180" s="17">
        <f t="shared" si="30"/>
        <v>0</v>
      </c>
      <c r="R180" s="17">
        <f t="shared" si="30"/>
        <v>67470989.310000002</v>
      </c>
      <c r="S180" s="17">
        <f t="shared" si="30"/>
        <v>138706739.69000003</v>
      </c>
    </row>
    <row r="181" spans="1:19" x14ac:dyDescent="0.25">
      <c r="A181" s="24"/>
      <c r="B181" s="24"/>
      <c r="C181" s="19"/>
      <c r="D181" s="19"/>
      <c r="E181" s="19"/>
      <c r="F181" s="19"/>
      <c r="G181" s="19"/>
      <c r="H181" s="19"/>
      <c r="I181" s="19"/>
      <c r="J181" s="19"/>
      <c r="K181" s="19"/>
      <c r="L181" s="19"/>
      <c r="M181" s="19"/>
      <c r="N181" s="19"/>
      <c r="O181" s="19"/>
      <c r="P181" s="19"/>
      <c r="Q181" s="19"/>
      <c r="R181" s="24"/>
      <c r="S181" s="24"/>
    </row>
    <row r="182" spans="1:19" x14ac:dyDescent="0.25">
      <c r="A182" s="24"/>
      <c r="B182" s="24"/>
      <c r="C182" s="19"/>
      <c r="D182" s="19"/>
      <c r="E182" s="19"/>
      <c r="F182" s="19"/>
      <c r="G182" s="19"/>
      <c r="H182" s="19"/>
      <c r="I182" s="19"/>
      <c r="J182" s="19"/>
      <c r="K182" s="19"/>
      <c r="L182" s="19"/>
      <c r="M182" s="19"/>
      <c r="N182" s="19"/>
      <c r="O182" s="19"/>
      <c r="P182" s="19"/>
      <c r="Q182" s="19"/>
      <c r="R182" s="24"/>
      <c r="S182" s="24"/>
    </row>
    <row r="183" spans="1:19" x14ac:dyDescent="0.25">
      <c r="A183" s="30" t="s">
        <v>103</v>
      </c>
      <c r="B183" s="30" t="s">
        <v>247</v>
      </c>
      <c r="C183" s="20"/>
      <c r="D183" s="20"/>
      <c r="E183" s="20">
        <f t="shared" ref="E183" si="32">+C183+D183</f>
        <v>0</v>
      </c>
      <c r="F183" s="20">
        <v>0</v>
      </c>
      <c r="G183" s="20">
        <v>0</v>
      </c>
      <c r="H183" s="20"/>
      <c r="I183" s="20"/>
      <c r="J183" s="20"/>
      <c r="K183" s="20"/>
      <c r="L183" s="20"/>
      <c r="M183" s="20"/>
      <c r="N183" s="20"/>
      <c r="O183" s="20"/>
      <c r="P183" s="20"/>
      <c r="Q183" s="20"/>
      <c r="R183" s="20">
        <f>SUM(F183:Q183)</f>
        <v>0</v>
      </c>
      <c r="S183" s="20">
        <f>+E183-R183</f>
        <v>0</v>
      </c>
    </row>
    <row r="184" spans="1:19" x14ac:dyDescent="0.25">
      <c r="A184" s="6" t="s">
        <v>254</v>
      </c>
      <c r="B184" s="6"/>
      <c r="C184" s="17">
        <f>SUM(C183)</f>
        <v>0</v>
      </c>
      <c r="D184" s="17">
        <f t="shared" ref="D184:E184" si="33">SUM(D183)</f>
        <v>0</v>
      </c>
      <c r="E184" s="17">
        <f t="shared" si="33"/>
        <v>0</v>
      </c>
      <c r="F184" s="19">
        <f>SUM(F183)</f>
        <v>0</v>
      </c>
      <c r="G184" s="19"/>
      <c r="H184" s="19"/>
      <c r="I184" s="19"/>
      <c r="J184" s="19"/>
      <c r="K184" s="19"/>
      <c r="L184" s="19"/>
      <c r="M184" s="19"/>
      <c r="N184" s="19"/>
      <c r="O184" s="19"/>
      <c r="P184" s="19"/>
      <c r="Q184" s="19"/>
      <c r="R184" s="19">
        <f>SUM(R183)</f>
        <v>0</v>
      </c>
      <c r="S184" s="17">
        <f>SUM(S183)</f>
        <v>0</v>
      </c>
    </row>
    <row r="185" spans="1:19" x14ac:dyDescent="0.25">
      <c r="A185" s="24"/>
      <c r="B185" s="24"/>
      <c r="C185" s="19"/>
      <c r="D185" s="19"/>
      <c r="E185" s="19"/>
      <c r="F185" s="19"/>
      <c r="G185" s="19"/>
      <c r="H185" s="19"/>
      <c r="I185" s="19"/>
      <c r="J185" s="19"/>
      <c r="K185" s="19"/>
      <c r="L185" s="19"/>
      <c r="M185" s="19"/>
      <c r="N185" s="19"/>
      <c r="O185" s="19"/>
      <c r="P185" s="19"/>
      <c r="Q185" s="19"/>
      <c r="R185" s="24"/>
      <c r="S185" s="24"/>
    </row>
    <row r="186" spans="1:19" x14ac:dyDescent="0.25">
      <c r="A186" s="24"/>
      <c r="B186" s="24"/>
      <c r="C186" s="19"/>
      <c r="D186" s="19"/>
      <c r="E186" s="19"/>
      <c r="F186" s="19"/>
      <c r="G186" s="19"/>
      <c r="H186" s="19"/>
      <c r="I186" s="19"/>
      <c r="J186" s="19"/>
      <c r="K186" s="19"/>
      <c r="L186" s="19"/>
      <c r="M186" s="19"/>
      <c r="N186" s="19"/>
      <c r="O186" s="19"/>
      <c r="P186" s="19"/>
      <c r="Q186" s="19"/>
      <c r="R186" s="24"/>
      <c r="S186" s="24"/>
    </row>
    <row r="187" spans="1:19" x14ac:dyDescent="0.25">
      <c r="A187" s="30" t="s">
        <v>358</v>
      </c>
      <c r="B187" s="30" t="s">
        <v>359</v>
      </c>
      <c r="C187" s="20">
        <v>0</v>
      </c>
      <c r="D187" s="20">
        <v>7000000</v>
      </c>
      <c r="E187" s="20">
        <f t="shared" ref="E187" si="34">+C187+D187</f>
        <v>7000000</v>
      </c>
      <c r="F187" s="20"/>
      <c r="G187" s="20">
        <v>7000000</v>
      </c>
      <c r="H187" s="20"/>
      <c r="I187" s="20"/>
      <c r="J187" s="20"/>
      <c r="K187" s="20"/>
      <c r="L187" s="20"/>
      <c r="M187" s="20"/>
      <c r="N187" s="20"/>
      <c r="O187" s="20"/>
      <c r="P187" s="20"/>
      <c r="Q187" s="20"/>
      <c r="R187" s="20">
        <f>SUM(F187:Q187)</f>
        <v>7000000</v>
      </c>
      <c r="S187" s="20">
        <f>+E187-R187</f>
        <v>0</v>
      </c>
    </row>
    <row r="188" spans="1:19" x14ac:dyDescent="0.25">
      <c r="A188" s="6" t="s">
        <v>360</v>
      </c>
      <c r="B188" s="6"/>
      <c r="C188" s="17">
        <f>SUM(C187)</f>
        <v>0</v>
      </c>
      <c r="D188" s="17">
        <f t="shared" ref="D188:E188" si="35">SUM(D187)</f>
        <v>7000000</v>
      </c>
      <c r="E188" s="17">
        <f t="shared" si="35"/>
        <v>7000000</v>
      </c>
      <c r="F188" s="19">
        <f>SUM(F187)</f>
        <v>0</v>
      </c>
      <c r="G188" s="17">
        <f>SUM(G187)</f>
        <v>7000000</v>
      </c>
      <c r="H188" s="19"/>
      <c r="I188" s="19"/>
      <c r="J188" s="19"/>
      <c r="K188" s="19"/>
      <c r="L188" s="19"/>
      <c r="M188" s="19"/>
      <c r="N188" s="19"/>
      <c r="O188" s="19"/>
      <c r="P188" s="19"/>
      <c r="Q188" s="19"/>
      <c r="R188" s="17">
        <f>SUM(R187)</f>
        <v>7000000</v>
      </c>
      <c r="S188" s="17">
        <f>SUM(S187)</f>
        <v>0</v>
      </c>
    </row>
    <row r="189" spans="1:19" x14ac:dyDescent="0.25">
      <c r="A189" s="24"/>
      <c r="B189" s="24"/>
      <c r="C189" s="19"/>
      <c r="D189" s="19"/>
      <c r="E189" s="19"/>
      <c r="F189" s="19"/>
      <c r="G189" s="19"/>
      <c r="H189" s="19"/>
      <c r="I189" s="19"/>
      <c r="J189" s="19"/>
      <c r="K189" s="19"/>
      <c r="L189" s="19"/>
      <c r="M189" s="19"/>
      <c r="N189" s="19"/>
      <c r="O189" s="19"/>
      <c r="P189" s="19"/>
      <c r="Q189" s="19"/>
      <c r="R189" s="24"/>
      <c r="S189" s="24"/>
    </row>
    <row r="190" spans="1:19" x14ac:dyDescent="0.25">
      <c r="A190" s="30" t="s">
        <v>104</v>
      </c>
      <c r="B190" s="30" t="s">
        <v>205</v>
      </c>
      <c r="C190" s="20">
        <v>47500000</v>
      </c>
      <c r="D190" s="20">
        <v>0</v>
      </c>
      <c r="E190" s="20">
        <f t="shared" ref="E190" si="36">+C190+D190</f>
        <v>47500000</v>
      </c>
      <c r="F190" s="20"/>
      <c r="G190" s="20">
        <v>23855753.109999999</v>
      </c>
      <c r="H190" s="20"/>
      <c r="I190" s="20"/>
      <c r="J190" s="20"/>
      <c r="K190" s="20"/>
      <c r="L190" s="20"/>
      <c r="M190" s="20"/>
      <c r="N190" s="20"/>
      <c r="O190" s="20"/>
      <c r="P190" s="20"/>
      <c r="Q190" s="20"/>
      <c r="R190" s="20">
        <f>SUM(F190:Q190)</f>
        <v>23855753.109999999</v>
      </c>
      <c r="S190" s="20">
        <f>+E190-R190</f>
        <v>23644246.890000001</v>
      </c>
    </row>
    <row r="191" spans="1:19" x14ac:dyDescent="0.25">
      <c r="A191" s="6" t="s">
        <v>255</v>
      </c>
      <c r="B191" s="6"/>
      <c r="C191" s="17">
        <f>SUM(C190)</f>
        <v>47500000</v>
      </c>
      <c r="D191" s="17">
        <f t="shared" ref="D191:E191" si="37">SUM(D190)</f>
        <v>0</v>
      </c>
      <c r="E191" s="17">
        <f t="shared" si="37"/>
        <v>47500000</v>
      </c>
      <c r="F191" s="19">
        <f>SUM(F190)</f>
        <v>0</v>
      </c>
      <c r="G191" s="17">
        <f>SUM(G190)</f>
        <v>23855753.109999999</v>
      </c>
      <c r="H191" s="17">
        <f>SUM(H190)</f>
        <v>0</v>
      </c>
      <c r="I191" s="17"/>
      <c r="J191" s="17"/>
      <c r="K191" s="17"/>
      <c r="L191" s="17"/>
      <c r="M191" s="17">
        <f>SUM(M190)</f>
        <v>0</v>
      </c>
      <c r="N191" s="17"/>
      <c r="O191" s="17"/>
      <c r="P191" s="17"/>
      <c r="Q191" s="17"/>
      <c r="R191" s="17">
        <f>SUM(R190)</f>
        <v>23855753.109999999</v>
      </c>
      <c r="S191" s="17">
        <f>SUM(S190)</f>
        <v>23644246.890000001</v>
      </c>
    </row>
    <row r="192" spans="1:19" x14ac:dyDescent="0.25">
      <c r="A192" s="24"/>
      <c r="B192" s="24"/>
      <c r="C192" s="19"/>
      <c r="D192" s="19"/>
      <c r="E192" s="19"/>
      <c r="F192" s="19"/>
      <c r="G192" s="19"/>
      <c r="H192" s="19"/>
      <c r="I192" s="19"/>
      <c r="J192" s="19"/>
      <c r="K192" s="19"/>
      <c r="L192" s="19"/>
      <c r="M192" s="19"/>
      <c r="N192" s="19"/>
      <c r="O192" s="19"/>
      <c r="P192" s="19"/>
      <c r="Q192" s="19"/>
      <c r="R192" s="24"/>
      <c r="S192" s="24"/>
    </row>
    <row r="193" spans="1:27" x14ac:dyDescent="0.25">
      <c r="A193" s="5"/>
      <c r="B193" s="5"/>
      <c r="C193" s="4"/>
      <c r="D193" s="4"/>
      <c r="E193" s="4"/>
      <c r="F193" s="4"/>
      <c r="G193" s="4"/>
      <c r="H193" s="4"/>
      <c r="I193" s="4"/>
      <c r="J193" s="4"/>
      <c r="K193" s="4"/>
      <c r="L193" s="4"/>
      <c r="M193" s="4"/>
      <c r="N193" s="4"/>
      <c r="O193" s="4"/>
      <c r="P193" s="4"/>
      <c r="Q193" s="4"/>
      <c r="R193" s="5"/>
      <c r="S193" s="5"/>
    </row>
    <row r="194" spans="1:27" ht="15.75" thickBot="1" x14ac:dyDescent="0.3">
      <c r="A194" s="15" t="s">
        <v>0</v>
      </c>
      <c r="B194" s="15"/>
      <c r="C194" s="16">
        <f>+C191+C184+C180+C163+C159+C133+C83+C25</f>
        <v>2680072281</v>
      </c>
      <c r="D194" s="16">
        <f>+D191+D188+D184+D180+D163+D159+D133+D83+D25</f>
        <v>-3.7252902984619141E-9</v>
      </c>
      <c r="E194" s="16">
        <f>+E191+E188+E184+E180+E163+E159+E133+E83+E25</f>
        <v>2680072281</v>
      </c>
      <c r="F194" s="16">
        <f>+F191+F184+F180+F163+F159+F133+F83+F25</f>
        <v>202998383.79000002</v>
      </c>
      <c r="G194" s="16">
        <f>+G191+G188+G184+G180+G163+G159+G133+G83+G25</f>
        <v>180429557.08000004</v>
      </c>
      <c r="H194" s="16">
        <f t="shared" ref="H194:Q194" si="38">+H191+H184+H180+H163+H159+H133+H83+H25</f>
        <v>184658324.28999996</v>
      </c>
      <c r="I194" s="16">
        <f t="shared" si="38"/>
        <v>138045118.24000001</v>
      </c>
      <c r="J194" s="16">
        <f t="shared" si="38"/>
        <v>165792415.19999999</v>
      </c>
      <c r="K194" s="16">
        <f t="shared" si="38"/>
        <v>0</v>
      </c>
      <c r="L194" s="16">
        <f t="shared" si="38"/>
        <v>0</v>
      </c>
      <c r="M194" s="16">
        <f t="shared" si="38"/>
        <v>0</v>
      </c>
      <c r="N194" s="16">
        <f t="shared" si="38"/>
        <v>0</v>
      </c>
      <c r="O194" s="16">
        <f t="shared" si="38"/>
        <v>0</v>
      </c>
      <c r="P194" s="16">
        <f t="shared" si="38"/>
        <v>0</v>
      </c>
      <c r="Q194" s="16">
        <f t="shared" si="38"/>
        <v>0</v>
      </c>
      <c r="R194" s="16">
        <f>+R191+R188+R184+R180+R163+R159+R133+R83+R25</f>
        <v>871923798.60000002</v>
      </c>
      <c r="S194" s="16">
        <f>+S191+S188+S184+S180+S163+S159+S133+S83+S25</f>
        <v>1808148482.4000001</v>
      </c>
    </row>
    <row r="195" spans="1:27" ht="15.75" thickTop="1" x14ac:dyDescent="0.25">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x14ac:dyDescent="0.25">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x14ac:dyDescent="0.25">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x14ac:dyDescent="0.25">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x14ac:dyDescent="0.25">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x14ac:dyDescent="0.25">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x14ac:dyDescent="0.25">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x14ac:dyDescent="0.25">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x14ac:dyDescent="0.25">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x14ac:dyDescent="0.25">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x14ac:dyDescent="0.25">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x14ac:dyDescent="0.25">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x14ac:dyDescent="0.25">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x14ac:dyDescent="0.25">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3:27" x14ac:dyDescent="0.25">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3:27" x14ac:dyDescent="0.25">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3:27" x14ac:dyDescent="0.25">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3:27" x14ac:dyDescent="0.25">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3:27" x14ac:dyDescent="0.25">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3:27" x14ac:dyDescent="0.25">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3:27" x14ac:dyDescent="0.25">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3:27" x14ac:dyDescent="0.25">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sheetData>
  <pageMargins left="0.70866141732283472" right="0.70866141732283472" top="0.74803149606299213" bottom="0.74803149606299213" header="0.31496062992125984" footer="0.31496062992125984"/>
  <pageSetup paperSize="5"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23"/>
  <sheetViews>
    <sheetView topLeftCell="A186" zoomScaleNormal="100" workbookViewId="0">
      <pane xSplit="2" topLeftCell="J1" activePane="topRight" state="frozen"/>
      <selection pane="topRight" activeCell="C203" sqref="C203:AB214"/>
    </sheetView>
  </sheetViews>
  <sheetFormatPr baseColWidth="10" defaultColWidth="11.42578125" defaultRowHeight="15" x14ac:dyDescent="0.25"/>
  <cols>
    <col min="1" max="1" width="44.42578125" customWidth="1"/>
    <col min="2" max="2" width="41.7109375" customWidth="1"/>
    <col min="3" max="3" width="23.7109375" customWidth="1"/>
    <col min="4" max="4" width="34.28515625" bestFit="1" customWidth="1"/>
    <col min="5" max="5" width="22.140625" bestFit="1" customWidth="1"/>
    <col min="6" max="6" width="15.140625" bestFit="1" customWidth="1"/>
    <col min="7" max="7" width="15.85546875" bestFit="1" customWidth="1"/>
    <col min="8" max="10" width="15.140625" customWidth="1"/>
    <col min="11" max="13" width="15.140625" hidden="1" customWidth="1"/>
    <col min="14" max="14" width="16.85546875" hidden="1" customWidth="1"/>
    <col min="15" max="17" width="15.140625" hidden="1" customWidth="1"/>
    <col min="18" max="18" width="19" bestFit="1" customWidth="1"/>
    <col min="19" max="19" width="24.7109375" bestFit="1" customWidth="1"/>
  </cols>
  <sheetData>
    <row r="2" spans="1:19" x14ac:dyDescent="0.25">
      <c r="A2" s="2" t="s">
        <v>361</v>
      </c>
      <c r="B2" s="2"/>
      <c r="C2" s="2"/>
      <c r="D2" s="2"/>
      <c r="E2" s="2"/>
      <c r="F2" s="2"/>
      <c r="G2" s="2"/>
      <c r="H2" s="2"/>
      <c r="I2" s="2"/>
      <c r="J2" s="2"/>
      <c r="K2" s="2"/>
      <c r="L2" s="2"/>
      <c r="M2" s="2"/>
      <c r="N2" s="2"/>
      <c r="O2" s="2"/>
      <c r="P2" s="2"/>
      <c r="Q2" s="2"/>
      <c r="R2" s="2"/>
      <c r="S2" s="2"/>
    </row>
    <row r="3" spans="1:19" x14ac:dyDescent="0.25">
      <c r="A3" s="2" t="s">
        <v>229</v>
      </c>
      <c r="B3" s="2"/>
      <c r="C3" s="2"/>
      <c r="D3" s="2"/>
      <c r="E3" s="2"/>
      <c r="F3" s="2"/>
      <c r="G3" s="2"/>
      <c r="H3" s="2"/>
      <c r="I3" s="2"/>
      <c r="J3" s="2"/>
      <c r="K3" s="2"/>
      <c r="L3" s="2"/>
      <c r="M3" s="2"/>
      <c r="N3" s="2"/>
      <c r="O3" s="2"/>
      <c r="P3" s="2"/>
      <c r="Q3" s="2"/>
      <c r="R3" s="22"/>
      <c r="S3" s="2"/>
    </row>
    <row r="4" spans="1:19" x14ac:dyDescent="0.25">
      <c r="A4" s="2" t="s">
        <v>257</v>
      </c>
      <c r="B4" s="2"/>
      <c r="C4" s="2"/>
      <c r="D4" s="2"/>
      <c r="E4" s="2"/>
      <c r="F4" s="2"/>
      <c r="G4" s="2"/>
      <c r="H4" s="2"/>
      <c r="I4" s="2"/>
      <c r="J4" s="2"/>
      <c r="K4" s="2"/>
      <c r="L4" s="2"/>
      <c r="M4" s="2"/>
      <c r="N4" s="2"/>
      <c r="O4" s="2"/>
      <c r="P4" s="2"/>
      <c r="Q4" s="2"/>
      <c r="R4" s="2"/>
      <c r="S4" s="2"/>
    </row>
    <row r="5" spans="1:19" x14ac:dyDescent="0.25">
      <c r="A5" s="2" t="s">
        <v>256</v>
      </c>
      <c r="B5" s="2"/>
      <c r="C5" s="2"/>
      <c r="D5" s="2"/>
      <c r="E5" s="2"/>
      <c r="F5" s="2"/>
      <c r="G5" s="2"/>
      <c r="H5" s="2"/>
      <c r="I5" s="2"/>
      <c r="J5" s="2"/>
      <c r="K5" s="2"/>
      <c r="L5" s="2"/>
      <c r="M5" s="2"/>
      <c r="N5" s="2"/>
      <c r="O5" s="2"/>
      <c r="P5" s="2"/>
      <c r="Q5" s="2"/>
      <c r="R5" s="2"/>
      <c r="S5" s="2"/>
    </row>
    <row r="6" spans="1:19" x14ac:dyDescent="0.25">
      <c r="A6" s="10" t="s">
        <v>225</v>
      </c>
      <c r="B6" s="7" t="s">
        <v>53</v>
      </c>
      <c r="C6" s="7" t="s">
        <v>279</v>
      </c>
      <c r="D6" s="7" t="s">
        <v>276</v>
      </c>
      <c r="E6" s="7" t="s">
        <v>277</v>
      </c>
      <c r="F6" s="18" t="s">
        <v>278</v>
      </c>
      <c r="G6" s="18" t="s">
        <v>292</v>
      </c>
      <c r="H6" s="18" t="s">
        <v>297</v>
      </c>
      <c r="I6" s="18" t="s">
        <v>300</v>
      </c>
      <c r="J6" s="18" t="s">
        <v>315</v>
      </c>
      <c r="K6" s="18" t="s">
        <v>318</v>
      </c>
      <c r="L6" s="18" t="s">
        <v>326</v>
      </c>
      <c r="M6" s="18" t="s">
        <v>327</v>
      </c>
      <c r="N6" s="18" t="s">
        <v>328</v>
      </c>
      <c r="O6" s="18" t="s">
        <v>329</v>
      </c>
      <c r="P6" s="18" t="s">
        <v>330</v>
      </c>
      <c r="Q6" s="18" t="s">
        <v>331</v>
      </c>
      <c r="R6" s="7" t="s">
        <v>280</v>
      </c>
      <c r="S6" s="7" t="s">
        <v>281</v>
      </c>
    </row>
    <row r="7" spans="1:19" x14ac:dyDescent="0.25">
      <c r="A7" s="11"/>
      <c r="B7" s="8"/>
      <c r="C7" s="8"/>
      <c r="D7" s="8"/>
      <c r="E7" s="8"/>
      <c r="F7" s="8"/>
      <c r="G7" s="8"/>
      <c r="H7" s="8"/>
      <c r="I7" s="8"/>
      <c r="J7" s="8"/>
      <c r="K7" s="8"/>
      <c r="L7" s="8"/>
      <c r="M7" s="8"/>
      <c r="N7" s="8"/>
      <c r="O7" s="8"/>
      <c r="P7" s="8"/>
      <c r="Q7" s="8"/>
      <c r="R7" s="8"/>
      <c r="S7" s="8"/>
    </row>
    <row r="8" spans="1:19" x14ac:dyDescent="0.25">
      <c r="A8" s="12"/>
      <c r="B8" s="9"/>
      <c r="C8" s="9"/>
      <c r="D8" s="9"/>
      <c r="E8" s="9"/>
      <c r="F8" s="9"/>
      <c r="G8" s="9"/>
      <c r="H8" s="9"/>
      <c r="I8" s="9"/>
      <c r="J8" s="9"/>
      <c r="K8" s="9"/>
      <c r="L8" s="9"/>
      <c r="M8" s="9"/>
      <c r="N8" s="9"/>
      <c r="O8" s="9"/>
      <c r="P8" s="9"/>
      <c r="Q8" s="9"/>
      <c r="R8" s="9"/>
      <c r="S8" s="9"/>
    </row>
    <row r="9" spans="1:19" x14ac:dyDescent="0.25">
      <c r="A9" s="24"/>
      <c r="B9" s="24"/>
      <c r="C9" s="24"/>
      <c r="D9" s="24"/>
      <c r="E9" s="24"/>
      <c r="F9" s="24"/>
      <c r="G9" s="24"/>
      <c r="H9" s="24"/>
      <c r="I9" s="24"/>
      <c r="J9" s="24"/>
      <c r="K9" s="24"/>
      <c r="L9" s="24"/>
      <c r="M9" s="24"/>
      <c r="N9" s="24"/>
      <c r="O9" s="24"/>
    </row>
    <row r="10" spans="1:19" x14ac:dyDescent="0.25">
      <c r="A10" s="24"/>
      <c r="B10" s="24"/>
      <c r="C10" s="24"/>
      <c r="D10" s="24"/>
      <c r="E10" s="24"/>
      <c r="F10" s="24"/>
      <c r="G10" s="24"/>
      <c r="H10" s="24"/>
      <c r="I10" s="24"/>
      <c r="J10" s="24"/>
      <c r="K10" s="24"/>
      <c r="L10" s="24"/>
      <c r="M10" s="24"/>
      <c r="N10" s="24"/>
      <c r="O10" s="24"/>
    </row>
    <row r="11" spans="1:19" x14ac:dyDescent="0.25">
      <c r="A11" s="24" t="s">
        <v>1</v>
      </c>
      <c r="B11" s="24" t="s">
        <v>105</v>
      </c>
      <c r="C11" s="19">
        <v>1571390644</v>
      </c>
      <c r="D11" s="19">
        <v>-108438.15</v>
      </c>
      <c r="E11" s="23">
        <f>+C11+D11</f>
        <v>1571282205.8499999</v>
      </c>
      <c r="F11" s="19">
        <v>108914754.5</v>
      </c>
      <c r="G11" s="19">
        <v>136143178.36999997</v>
      </c>
      <c r="H11" s="19">
        <v>170656777.69999999</v>
      </c>
      <c r="I11" s="19">
        <v>113753930.19000001</v>
      </c>
      <c r="J11" s="19">
        <v>187512443.03</v>
      </c>
      <c r="K11" s="19"/>
      <c r="L11" s="19"/>
      <c r="M11" s="19"/>
      <c r="N11" s="19"/>
      <c r="O11" s="19"/>
      <c r="P11" s="19"/>
      <c r="Q11" s="19"/>
      <c r="R11" s="23">
        <f>SUM(F11:Q11)</f>
        <v>716981083.78999996</v>
      </c>
      <c r="S11" s="23">
        <f>+E11-R11</f>
        <v>854301122.05999994</v>
      </c>
    </row>
    <row r="12" spans="1:19" x14ac:dyDescent="0.25">
      <c r="A12" s="24" t="s">
        <v>2</v>
      </c>
      <c r="B12" s="24" t="s">
        <v>106</v>
      </c>
      <c r="C12" s="19">
        <v>513000</v>
      </c>
      <c r="D12" s="19">
        <v>0</v>
      </c>
      <c r="E12" s="23">
        <f t="shared" ref="E12:E28" si="0">+C12+D12</f>
        <v>513000</v>
      </c>
      <c r="F12" s="19"/>
      <c r="G12" s="19">
        <v>109500</v>
      </c>
      <c r="H12" s="19">
        <v>107250</v>
      </c>
      <c r="I12" s="19">
        <v>162700</v>
      </c>
      <c r="J12" s="19">
        <v>72500</v>
      </c>
      <c r="K12" s="19"/>
      <c r="L12" s="19"/>
      <c r="M12" s="19"/>
      <c r="N12" s="19"/>
      <c r="O12" s="19"/>
      <c r="P12" s="19"/>
      <c r="Q12" s="19"/>
      <c r="R12" s="23">
        <f t="shared" ref="R12:R28" si="1">SUM(F12:Q12)</f>
        <v>451950</v>
      </c>
      <c r="S12" s="23">
        <f t="shared" ref="S12:S28" si="2">+E12-R12</f>
        <v>61050</v>
      </c>
    </row>
    <row r="13" spans="1:19" x14ac:dyDescent="0.25">
      <c r="A13" s="24" t="s">
        <v>3</v>
      </c>
      <c r="B13" s="24" t="s">
        <v>107</v>
      </c>
      <c r="C13" s="19">
        <v>110517130</v>
      </c>
      <c r="D13" s="19">
        <v>60438.15</v>
      </c>
      <c r="E13" s="23">
        <f t="shared" si="0"/>
        <v>110577568.15000001</v>
      </c>
      <c r="F13" s="19">
        <v>8941261.2100000009</v>
      </c>
      <c r="G13" s="19">
        <v>9752905.3399999999</v>
      </c>
      <c r="H13" s="19">
        <v>10645564.34</v>
      </c>
      <c r="I13" s="19">
        <v>8236259.9199999999</v>
      </c>
      <c r="J13" s="19">
        <v>11246224.390000001</v>
      </c>
      <c r="K13" s="19"/>
      <c r="L13" s="19"/>
      <c r="M13" s="19"/>
      <c r="N13" s="19"/>
      <c r="O13" s="19"/>
      <c r="P13" s="19"/>
      <c r="Q13" s="19"/>
      <c r="R13" s="23">
        <f t="shared" si="1"/>
        <v>48822215.200000003</v>
      </c>
      <c r="S13" s="23">
        <f t="shared" si="2"/>
        <v>61755352.950000003</v>
      </c>
    </row>
    <row r="14" spans="1:19" x14ac:dyDescent="0.25">
      <c r="A14" s="24" t="s">
        <v>4</v>
      </c>
      <c r="B14" s="24" t="s">
        <v>226</v>
      </c>
      <c r="C14" s="19">
        <v>124399816</v>
      </c>
      <c r="D14" s="19">
        <v>0</v>
      </c>
      <c r="E14" s="23">
        <f t="shared" si="0"/>
        <v>124399816</v>
      </c>
      <c r="F14" s="19">
        <v>1024394.7</v>
      </c>
      <c r="G14" s="19">
        <v>104341.39</v>
      </c>
      <c r="H14" s="19">
        <v>52494.59</v>
      </c>
      <c r="I14" s="19">
        <v>2800</v>
      </c>
      <c r="J14" s="19">
        <v>150035.48000000001</v>
      </c>
      <c r="K14" s="19"/>
      <c r="L14" s="19"/>
      <c r="M14" s="19"/>
      <c r="N14" s="19"/>
      <c r="O14" s="19"/>
      <c r="P14" s="19"/>
      <c r="Q14" s="19"/>
      <c r="R14" s="23">
        <f t="shared" si="1"/>
        <v>1334066.1599999999</v>
      </c>
      <c r="S14" s="23">
        <f t="shared" si="2"/>
        <v>123065749.84</v>
      </c>
    </row>
    <row r="15" spans="1:19" x14ac:dyDescent="0.25">
      <c r="A15" s="24" t="s">
        <v>5</v>
      </c>
      <c r="B15" s="24" t="s">
        <v>232</v>
      </c>
      <c r="C15" s="19">
        <v>100000000</v>
      </c>
      <c r="D15" s="19">
        <v>0</v>
      </c>
      <c r="E15" s="23">
        <f t="shared" si="0"/>
        <v>100000000</v>
      </c>
      <c r="F15" s="19">
        <v>13318426.6</v>
      </c>
      <c r="G15" s="19">
        <v>3369657.73</v>
      </c>
      <c r="H15" s="19">
        <v>17183369.960000001</v>
      </c>
      <c r="I15" s="19">
        <v>7747759.7300000004</v>
      </c>
      <c r="J15" s="19">
        <v>8660866.9700000007</v>
      </c>
      <c r="K15" s="19"/>
      <c r="L15" s="19"/>
      <c r="M15" s="19"/>
      <c r="N15" s="19"/>
      <c r="O15" s="19"/>
      <c r="P15" s="19"/>
      <c r="Q15" s="19"/>
      <c r="R15" s="23">
        <f t="shared" si="1"/>
        <v>50280080.989999995</v>
      </c>
      <c r="S15" s="23">
        <f t="shared" si="2"/>
        <v>49719919.010000005</v>
      </c>
    </row>
    <row r="16" spans="1:19" x14ac:dyDescent="0.25">
      <c r="A16" s="24" t="s">
        <v>6</v>
      </c>
      <c r="B16" s="24" t="s">
        <v>108</v>
      </c>
      <c r="C16" s="19">
        <v>20000000</v>
      </c>
      <c r="D16" s="19">
        <v>0</v>
      </c>
      <c r="E16" s="23">
        <f t="shared" si="0"/>
        <v>20000000</v>
      </c>
      <c r="F16" s="19">
        <v>1064481.51</v>
      </c>
      <c r="G16" s="19">
        <v>358154.12</v>
      </c>
      <c r="H16" s="19">
        <v>1124022.1599999999</v>
      </c>
      <c r="I16" s="19">
        <v>903617.75</v>
      </c>
      <c r="J16" s="19">
        <v>1317453.5900000001</v>
      </c>
      <c r="K16" s="19"/>
      <c r="L16" s="19"/>
      <c r="M16" s="19"/>
      <c r="N16" s="19"/>
      <c r="O16" s="19"/>
      <c r="P16" s="19"/>
      <c r="Q16" s="19"/>
      <c r="R16" s="23">
        <f t="shared" si="1"/>
        <v>4767729.13</v>
      </c>
      <c r="S16" s="23">
        <f t="shared" si="2"/>
        <v>15232270.870000001</v>
      </c>
    </row>
    <row r="17" spans="1:19" x14ac:dyDescent="0.25">
      <c r="A17" s="24" t="s">
        <v>282</v>
      </c>
      <c r="B17" s="24" t="s">
        <v>283</v>
      </c>
      <c r="C17" s="19">
        <v>61044476</v>
      </c>
      <c r="D17" s="19">
        <v>0</v>
      </c>
      <c r="E17" s="23">
        <f t="shared" si="0"/>
        <v>61044476</v>
      </c>
      <c r="F17" s="19">
        <v>3021528.66</v>
      </c>
      <c r="G17" s="19">
        <v>4101674.81</v>
      </c>
      <c r="H17" s="19">
        <v>4379888.5599999996</v>
      </c>
      <c r="I17" s="19">
        <v>2998183.56</v>
      </c>
      <c r="J17" s="19">
        <v>3006518.42</v>
      </c>
      <c r="K17" s="19"/>
      <c r="L17" s="19"/>
      <c r="M17" s="19"/>
      <c r="N17" s="19"/>
      <c r="O17" s="19"/>
      <c r="P17" s="19"/>
      <c r="Q17" s="19"/>
      <c r="R17" s="23">
        <f t="shared" si="1"/>
        <v>17507794.010000002</v>
      </c>
      <c r="S17" s="23">
        <f t="shared" si="2"/>
        <v>43536681.989999995</v>
      </c>
    </row>
    <row r="18" spans="1:19" x14ac:dyDescent="0.25">
      <c r="A18" s="24" t="s">
        <v>7</v>
      </c>
      <c r="B18" s="24" t="s">
        <v>109</v>
      </c>
      <c r="C18" s="19">
        <v>30000000</v>
      </c>
      <c r="D18" s="19">
        <v>0</v>
      </c>
      <c r="E18" s="23">
        <f t="shared" si="0"/>
        <v>30000000</v>
      </c>
      <c r="F18" s="19">
        <v>2015543.21</v>
      </c>
      <c r="G18" s="19">
        <v>2109540.79</v>
      </c>
      <c r="H18" s="19">
        <v>2788397.81</v>
      </c>
      <c r="I18" s="19">
        <v>2538788.04</v>
      </c>
      <c r="J18" s="19">
        <v>2423282.6800000002</v>
      </c>
      <c r="K18" s="19"/>
      <c r="L18" s="19"/>
      <c r="M18" s="19"/>
      <c r="N18" s="19"/>
      <c r="O18" s="19"/>
      <c r="P18" s="19"/>
      <c r="Q18" s="19"/>
      <c r="R18" s="23">
        <f t="shared" si="1"/>
        <v>11875552.530000001</v>
      </c>
      <c r="S18" s="23">
        <f t="shared" si="2"/>
        <v>18124447.469999999</v>
      </c>
    </row>
    <row r="19" spans="1:19" x14ac:dyDescent="0.25">
      <c r="A19" s="24" t="s">
        <v>347</v>
      </c>
      <c r="B19" s="24" t="s">
        <v>348</v>
      </c>
      <c r="C19" s="19">
        <v>17100000</v>
      </c>
      <c r="D19" s="19">
        <v>0</v>
      </c>
      <c r="E19" s="23">
        <f t="shared" si="0"/>
        <v>17100000</v>
      </c>
      <c r="F19" s="19">
        <v>1281122.26</v>
      </c>
      <c r="G19" s="19">
        <v>1281122.26</v>
      </c>
      <c r="H19" s="19">
        <v>1281122.26</v>
      </c>
      <c r="I19" s="19">
        <v>1281122.26</v>
      </c>
      <c r="J19" s="19">
        <v>1355189.35</v>
      </c>
      <c r="K19" s="19"/>
      <c r="L19" s="19"/>
      <c r="M19" s="19"/>
      <c r="N19" s="19"/>
      <c r="O19" s="19"/>
      <c r="P19" s="19"/>
      <c r="Q19" s="19"/>
      <c r="R19" s="23">
        <f t="shared" si="1"/>
        <v>6479678.3900000006</v>
      </c>
      <c r="S19" s="23">
        <f t="shared" si="2"/>
        <v>10620321.609999999</v>
      </c>
    </row>
    <row r="20" spans="1:19" x14ac:dyDescent="0.25">
      <c r="A20" s="24" t="s">
        <v>8</v>
      </c>
      <c r="B20" s="24" t="s">
        <v>110</v>
      </c>
      <c r="C20" s="19">
        <v>30000000</v>
      </c>
      <c r="D20" s="19">
        <v>17003171.57</v>
      </c>
      <c r="E20" s="23">
        <f t="shared" si="0"/>
        <v>47003171.57</v>
      </c>
      <c r="F20" s="19">
        <v>3293060.72</v>
      </c>
      <c r="G20" s="19">
        <v>3329806.36</v>
      </c>
      <c r="H20" s="19">
        <v>3359707.42</v>
      </c>
      <c r="I20" s="19">
        <v>3507240.82</v>
      </c>
      <c r="J20" s="19">
        <v>3513356.25</v>
      </c>
      <c r="K20" s="19"/>
      <c r="L20" s="19"/>
      <c r="M20" s="19"/>
      <c r="N20" s="19"/>
      <c r="O20" s="19"/>
      <c r="P20" s="19"/>
      <c r="Q20" s="19"/>
      <c r="R20" s="23">
        <f t="shared" si="1"/>
        <v>17003171.57</v>
      </c>
      <c r="S20" s="23">
        <f t="shared" si="2"/>
        <v>30000000</v>
      </c>
    </row>
    <row r="21" spans="1:19" x14ac:dyDescent="0.25">
      <c r="A21" s="24" t="s">
        <v>9</v>
      </c>
      <c r="B21" s="24" t="s">
        <v>111</v>
      </c>
      <c r="C21" s="19">
        <v>381082230</v>
      </c>
      <c r="D21" s="19">
        <v>132429.51</v>
      </c>
      <c r="E21" s="23">
        <f t="shared" si="0"/>
        <v>381214659.50999999</v>
      </c>
      <c r="F21" s="19">
        <v>70722026.660000011</v>
      </c>
      <c r="G21" s="19">
        <v>117506</v>
      </c>
      <c r="H21" s="19"/>
      <c r="I21" s="19">
        <v>24677972.48</v>
      </c>
      <c r="J21" s="19">
        <v>116000</v>
      </c>
      <c r="K21" s="19"/>
      <c r="L21" s="19"/>
      <c r="M21" s="19"/>
      <c r="N21" s="19"/>
      <c r="O21" s="19"/>
      <c r="P21" s="19"/>
      <c r="Q21" s="19"/>
      <c r="R21" s="23">
        <f t="shared" si="1"/>
        <v>95633505.140000015</v>
      </c>
      <c r="S21" s="23">
        <f t="shared" si="2"/>
        <v>285581154.37</v>
      </c>
    </row>
    <row r="22" spans="1:19" x14ac:dyDescent="0.25">
      <c r="A22" s="24" t="s">
        <v>10</v>
      </c>
      <c r="B22" s="24" t="s">
        <v>112</v>
      </c>
      <c r="C22" s="19">
        <v>0</v>
      </c>
      <c r="D22" s="19">
        <v>21506</v>
      </c>
      <c r="E22" s="23">
        <f t="shared" si="0"/>
        <v>21506</v>
      </c>
      <c r="F22" s="19"/>
      <c r="G22" s="19">
        <v>21506</v>
      </c>
      <c r="H22" s="19"/>
      <c r="I22" s="19"/>
      <c r="J22" s="19"/>
      <c r="K22" s="19"/>
      <c r="L22" s="19"/>
      <c r="M22" s="19"/>
      <c r="N22" s="19"/>
      <c r="O22" s="19"/>
      <c r="P22" s="19"/>
      <c r="Q22" s="19"/>
      <c r="R22" s="23">
        <f t="shared" si="1"/>
        <v>21506</v>
      </c>
      <c r="S22" s="23">
        <f t="shared" si="2"/>
        <v>0</v>
      </c>
    </row>
    <row r="23" spans="1:19" x14ac:dyDescent="0.25">
      <c r="A23" s="24" t="s">
        <v>223</v>
      </c>
      <c r="B23" s="24" t="s">
        <v>224</v>
      </c>
      <c r="C23" s="19">
        <v>70000000</v>
      </c>
      <c r="D23" s="19"/>
      <c r="E23" s="23">
        <f t="shared" si="0"/>
        <v>70000000</v>
      </c>
      <c r="F23" s="19">
        <v>408837.98</v>
      </c>
      <c r="G23" s="19">
        <v>171835</v>
      </c>
      <c r="H23" s="19">
        <v>2090650.0899999999</v>
      </c>
      <c r="I23" s="19">
        <v>849626.93</v>
      </c>
      <c r="J23" s="19">
        <v>327242.86</v>
      </c>
      <c r="K23" s="19"/>
      <c r="L23" s="19"/>
      <c r="M23" s="19"/>
      <c r="N23" s="19"/>
      <c r="O23" s="19"/>
      <c r="P23" s="19"/>
      <c r="Q23" s="19"/>
      <c r="R23" s="23">
        <f t="shared" si="1"/>
        <v>3848192.86</v>
      </c>
      <c r="S23" s="23">
        <f t="shared" si="2"/>
        <v>66151807.140000001</v>
      </c>
    </row>
    <row r="24" spans="1:19" x14ac:dyDescent="0.25">
      <c r="A24" s="24" t="s">
        <v>209</v>
      </c>
      <c r="B24" s="24" t="s">
        <v>210</v>
      </c>
      <c r="C24" s="19">
        <v>250000</v>
      </c>
      <c r="D24" s="19">
        <v>48000</v>
      </c>
      <c r="E24" s="23">
        <f t="shared" si="0"/>
        <v>298000</v>
      </c>
      <c r="F24" s="19"/>
      <c r="G24" s="19">
        <v>77000</v>
      </c>
      <c r="H24" s="19">
        <v>66000</v>
      </c>
      <c r="I24" s="19">
        <v>80000</v>
      </c>
      <c r="J24" s="19">
        <v>75000</v>
      </c>
      <c r="K24" s="19"/>
      <c r="L24" s="19"/>
      <c r="M24" s="19"/>
      <c r="N24" s="19"/>
      <c r="O24" s="19"/>
      <c r="P24" s="19"/>
      <c r="Q24" s="19"/>
      <c r="R24" s="23">
        <f t="shared" si="1"/>
        <v>298000</v>
      </c>
      <c r="S24" s="23">
        <f t="shared" si="2"/>
        <v>0</v>
      </c>
    </row>
    <row r="25" spans="1:19" x14ac:dyDescent="0.25">
      <c r="A25" s="26" t="s">
        <v>11</v>
      </c>
      <c r="B25" s="26" t="s">
        <v>113</v>
      </c>
      <c r="C25" s="21">
        <v>166682414</v>
      </c>
      <c r="D25" s="19">
        <v>-17419067.079999998</v>
      </c>
      <c r="E25" s="23">
        <f t="shared" si="0"/>
        <v>149263346.92000002</v>
      </c>
      <c r="F25" s="19">
        <v>96350</v>
      </c>
      <c r="G25" s="19"/>
      <c r="H25" s="19"/>
      <c r="I25" s="19"/>
      <c r="J25" s="19">
        <v>10500</v>
      </c>
      <c r="K25" s="19"/>
      <c r="L25" s="19"/>
      <c r="M25" s="19"/>
      <c r="N25" s="19"/>
      <c r="O25" s="19"/>
      <c r="P25" s="19"/>
      <c r="Q25" s="19"/>
      <c r="R25" s="23">
        <f t="shared" si="1"/>
        <v>106850</v>
      </c>
      <c r="S25" s="23">
        <f t="shared" si="2"/>
        <v>149156496.92000002</v>
      </c>
    </row>
    <row r="26" spans="1:19" x14ac:dyDescent="0.25">
      <c r="A26" s="24" t="s">
        <v>12</v>
      </c>
      <c r="B26" s="24" t="s">
        <v>114</v>
      </c>
      <c r="C26" s="21">
        <v>112784559</v>
      </c>
      <c r="D26" s="19"/>
      <c r="E26" s="23">
        <f t="shared" si="0"/>
        <v>112784559</v>
      </c>
      <c r="F26" s="19">
        <v>9717766.3599999994</v>
      </c>
      <c r="G26" s="19">
        <v>8110315.5899999999</v>
      </c>
      <c r="H26" s="19">
        <v>10394258.539999999</v>
      </c>
      <c r="I26" s="19"/>
      <c r="J26" s="19">
        <v>21746772.59</v>
      </c>
      <c r="K26" s="19"/>
      <c r="L26" s="19"/>
      <c r="M26" s="19"/>
      <c r="N26" s="19"/>
      <c r="O26" s="19"/>
      <c r="P26" s="19"/>
      <c r="Q26" s="19"/>
      <c r="R26" s="23">
        <f t="shared" si="1"/>
        <v>49969113.079999998</v>
      </c>
      <c r="S26" s="23">
        <f t="shared" si="2"/>
        <v>62815445.920000002</v>
      </c>
    </row>
    <row r="27" spans="1:19" x14ac:dyDescent="0.25">
      <c r="A27" s="24" t="s">
        <v>13</v>
      </c>
      <c r="B27" s="24" t="s">
        <v>115</v>
      </c>
      <c r="C27" s="21">
        <v>115859610</v>
      </c>
      <c r="D27" s="19"/>
      <c r="E27" s="23">
        <f t="shared" si="0"/>
        <v>115859610</v>
      </c>
      <c r="F27" s="19">
        <v>8021900.3799999999</v>
      </c>
      <c r="G27" s="19">
        <v>10307494.15</v>
      </c>
      <c r="H27" s="19">
        <v>8751646.7599999998</v>
      </c>
      <c r="I27" s="19"/>
      <c r="J27" s="19">
        <v>21940656.25</v>
      </c>
      <c r="K27" s="19"/>
      <c r="L27" s="19"/>
      <c r="M27" s="19"/>
      <c r="N27" s="19"/>
      <c r="O27" s="19"/>
      <c r="P27" s="19"/>
      <c r="Q27" s="19"/>
      <c r="R27" s="23">
        <f t="shared" si="1"/>
        <v>49021697.539999999</v>
      </c>
      <c r="S27" s="23">
        <f t="shared" si="2"/>
        <v>66837912.460000001</v>
      </c>
    </row>
    <row r="28" spans="1:19" x14ac:dyDescent="0.25">
      <c r="A28" s="30" t="s">
        <v>14</v>
      </c>
      <c r="B28" s="30" t="s">
        <v>116</v>
      </c>
      <c r="C28" s="20">
        <v>15393672</v>
      </c>
      <c r="D28" s="20"/>
      <c r="E28" s="25">
        <f t="shared" si="0"/>
        <v>15393672</v>
      </c>
      <c r="F28" s="20">
        <v>1328740.06</v>
      </c>
      <c r="G28" s="20">
        <v>1347444.2</v>
      </c>
      <c r="H28" s="20">
        <v>1393239.35</v>
      </c>
      <c r="I28" s="20"/>
      <c r="J28" s="20">
        <v>2177559.11</v>
      </c>
      <c r="K28" s="20"/>
      <c r="L28" s="20"/>
      <c r="M28" s="20"/>
      <c r="N28" s="20"/>
      <c r="O28" s="20"/>
      <c r="P28" s="20"/>
      <c r="Q28" s="20"/>
      <c r="R28" s="25">
        <f t="shared" si="1"/>
        <v>6246982.7199999997</v>
      </c>
      <c r="S28" s="25">
        <f t="shared" si="2"/>
        <v>9146689.2800000012</v>
      </c>
    </row>
    <row r="29" spans="1:19" x14ac:dyDescent="0.25">
      <c r="A29" s="6" t="s">
        <v>248</v>
      </c>
      <c r="B29" s="6"/>
      <c r="C29" s="17">
        <f>SUM(C11:C28)</f>
        <v>2927017551</v>
      </c>
      <c r="D29" s="17">
        <f t="shared" ref="D29:G29" si="3">SUM(D11:D28)</f>
        <v>-261959.99999999627</v>
      </c>
      <c r="E29" s="17">
        <f t="shared" si="3"/>
        <v>2926755591</v>
      </c>
      <c r="F29" s="17">
        <f t="shared" si="3"/>
        <v>233170194.81</v>
      </c>
      <c r="G29" s="17">
        <f t="shared" si="3"/>
        <v>180812982.10999995</v>
      </c>
      <c r="H29" s="17">
        <f>SUM(H11:H28)</f>
        <v>234274389.53999996</v>
      </c>
      <c r="I29" s="17">
        <f>SUM(I11:I28)</f>
        <v>166740001.68000001</v>
      </c>
      <c r="J29" s="17">
        <f>SUM(J11:J28)</f>
        <v>265651600.97000003</v>
      </c>
      <c r="K29" s="17">
        <f>SUM(K11:K28)</f>
        <v>0</v>
      </c>
      <c r="L29" s="17">
        <f t="shared" ref="L29:R29" si="4">SUM(L11:L28)</f>
        <v>0</v>
      </c>
      <c r="M29" s="17">
        <f t="shared" si="4"/>
        <v>0</v>
      </c>
      <c r="N29" s="17">
        <f t="shared" si="4"/>
        <v>0</v>
      </c>
      <c r="O29" s="17">
        <f t="shared" si="4"/>
        <v>0</v>
      </c>
      <c r="P29" s="17">
        <f t="shared" si="4"/>
        <v>0</v>
      </c>
      <c r="Q29" s="17">
        <f t="shared" si="4"/>
        <v>0</v>
      </c>
      <c r="R29" s="17">
        <f t="shared" si="4"/>
        <v>1080649169.1100001</v>
      </c>
      <c r="S29" s="17">
        <f t="shared" ref="S29" si="5">SUM(S11:S28)</f>
        <v>1846106421.8900003</v>
      </c>
    </row>
    <row r="30" spans="1:19" x14ac:dyDescent="0.25">
      <c r="A30" s="24"/>
      <c r="B30" s="24"/>
      <c r="C30" s="19"/>
      <c r="D30" s="19"/>
      <c r="E30" s="24"/>
      <c r="F30" s="19"/>
      <c r="G30" s="19"/>
      <c r="H30" s="19"/>
      <c r="I30" s="19"/>
      <c r="J30" s="19"/>
      <c r="K30" s="19"/>
      <c r="L30" s="19"/>
      <c r="M30" s="19"/>
      <c r="N30" s="19"/>
      <c r="O30" s="19"/>
      <c r="P30" s="19"/>
      <c r="Q30" s="19"/>
      <c r="R30" s="24"/>
      <c r="S30" s="24"/>
    </row>
    <row r="31" spans="1:19" x14ac:dyDescent="0.25">
      <c r="A31" s="24"/>
      <c r="B31" s="24"/>
      <c r="C31" s="19"/>
      <c r="D31" s="19"/>
      <c r="E31" s="24"/>
      <c r="F31" s="19"/>
      <c r="G31" s="19"/>
      <c r="H31" s="19"/>
      <c r="I31" s="19"/>
      <c r="J31" s="19"/>
      <c r="K31" s="19"/>
      <c r="L31" s="19"/>
      <c r="M31" s="19"/>
      <c r="N31" s="19"/>
      <c r="O31" s="19"/>
      <c r="P31" s="19"/>
      <c r="Q31" s="19"/>
      <c r="R31" s="24"/>
      <c r="S31" s="24"/>
    </row>
    <row r="32" spans="1:19" x14ac:dyDescent="0.25">
      <c r="A32" s="24" t="s">
        <v>16</v>
      </c>
      <c r="B32" s="24" t="s">
        <v>117</v>
      </c>
      <c r="C32" s="19">
        <v>949100</v>
      </c>
      <c r="D32" s="19">
        <v>-11965</v>
      </c>
      <c r="E32" s="19">
        <f t="shared" ref="E32:E86" si="6">+C32+D32</f>
        <v>937135</v>
      </c>
      <c r="F32" s="19">
        <v>15970.11</v>
      </c>
      <c r="G32" s="19">
        <v>4784.59</v>
      </c>
      <c r="H32" s="19">
        <v>3369.76</v>
      </c>
      <c r="I32" s="19">
        <v>166.45</v>
      </c>
      <c r="J32" s="19">
        <v>3009.07</v>
      </c>
      <c r="K32" s="19"/>
      <c r="L32" s="19"/>
      <c r="M32" s="19"/>
      <c r="N32" s="19"/>
      <c r="O32" s="19"/>
      <c r="P32" s="19"/>
      <c r="Q32" s="19"/>
      <c r="R32" s="19">
        <f t="shared" ref="R32:R96" si="7">SUM(F32:Q32)</f>
        <v>27299.98</v>
      </c>
      <c r="S32" s="19">
        <f t="shared" ref="S32" si="8">+E32-R32</f>
        <v>909835.02</v>
      </c>
    </row>
    <row r="33" spans="1:19" x14ac:dyDescent="0.25">
      <c r="A33" s="24" t="s">
        <v>17</v>
      </c>
      <c r="B33" s="24" t="s">
        <v>118</v>
      </c>
      <c r="C33" s="19">
        <v>35000000</v>
      </c>
      <c r="D33" s="19">
        <v>0</v>
      </c>
      <c r="E33" s="19">
        <f t="shared" si="6"/>
        <v>35000000</v>
      </c>
      <c r="F33" s="19">
        <v>1615494.91</v>
      </c>
      <c r="G33" s="19">
        <v>2341259.09</v>
      </c>
      <c r="H33" s="19">
        <v>1750311.54</v>
      </c>
      <c r="I33" s="19">
        <v>1640518.8</v>
      </c>
      <c r="J33" s="19">
        <v>871523.37000000011</v>
      </c>
      <c r="K33" s="19"/>
      <c r="L33" s="19"/>
      <c r="M33" s="19"/>
      <c r="N33" s="19"/>
      <c r="O33" s="19"/>
      <c r="P33" s="19"/>
      <c r="Q33" s="19"/>
      <c r="R33" s="19">
        <f t="shared" si="7"/>
        <v>8219107.71</v>
      </c>
      <c r="S33" s="19">
        <f t="shared" ref="S33:S86" si="9">+E33-R33</f>
        <v>26780892.289999999</v>
      </c>
    </row>
    <row r="34" spans="1:19" x14ac:dyDescent="0.25">
      <c r="A34" s="24" t="s">
        <v>18</v>
      </c>
      <c r="B34" s="24" t="s">
        <v>119</v>
      </c>
      <c r="C34" s="19">
        <v>5000</v>
      </c>
      <c r="D34" s="19">
        <v>28641.489999999998</v>
      </c>
      <c r="E34" s="19">
        <f t="shared" si="6"/>
        <v>33641.49</v>
      </c>
      <c r="F34" s="19">
        <v>15486.49</v>
      </c>
      <c r="G34" s="19">
        <v>0</v>
      </c>
      <c r="H34" s="19">
        <v>0</v>
      </c>
      <c r="I34" s="19">
        <v>6190</v>
      </c>
      <c r="J34" s="19">
        <v>11965</v>
      </c>
      <c r="K34" s="19"/>
      <c r="L34" s="19"/>
      <c r="M34" s="19"/>
      <c r="N34" s="19"/>
      <c r="O34" s="19"/>
      <c r="P34" s="19"/>
      <c r="Q34" s="19"/>
      <c r="R34" s="19">
        <f t="shared" si="7"/>
        <v>33641.49</v>
      </c>
      <c r="S34" s="19">
        <f t="shared" si="9"/>
        <v>0</v>
      </c>
    </row>
    <row r="35" spans="1:19" x14ac:dyDescent="0.25">
      <c r="A35" s="24" t="s">
        <v>19</v>
      </c>
      <c r="B35" s="24" t="s">
        <v>120</v>
      </c>
      <c r="C35" s="19">
        <v>28000000</v>
      </c>
      <c r="D35" s="19">
        <v>6711362.04</v>
      </c>
      <c r="E35" s="19">
        <f t="shared" si="6"/>
        <v>34711362.039999999</v>
      </c>
      <c r="F35" s="19">
        <v>3528183.07</v>
      </c>
      <c r="G35" s="19">
        <v>6411578.4500000002</v>
      </c>
      <c r="H35" s="19">
        <v>2271463.8199999998</v>
      </c>
      <c r="I35" s="19">
        <v>5066993.24</v>
      </c>
      <c r="J35" s="19">
        <v>17433143.460000001</v>
      </c>
      <c r="K35" s="19"/>
      <c r="L35" s="19"/>
      <c r="M35" s="19"/>
      <c r="N35" s="19"/>
      <c r="O35" s="19"/>
      <c r="P35" s="19"/>
      <c r="Q35" s="19"/>
      <c r="R35" s="19">
        <f t="shared" si="7"/>
        <v>34711362.039999999</v>
      </c>
      <c r="S35" s="19">
        <f t="shared" si="9"/>
        <v>0</v>
      </c>
    </row>
    <row r="36" spans="1:19" x14ac:dyDescent="0.25">
      <c r="A36" s="24" t="s">
        <v>20</v>
      </c>
      <c r="B36" s="24" t="s">
        <v>121</v>
      </c>
      <c r="C36" s="19">
        <v>84500000</v>
      </c>
      <c r="D36" s="19">
        <v>0</v>
      </c>
      <c r="E36" s="19">
        <f t="shared" si="6"/>
        <v>84500000</v>
      </c>
      <c r="F36" s="19">
        <v>7011555.4800000004</v>
      </c>
      <c r="G36" s="19">
        <v>6981142.8700000001</v>
      </c>
      <c r="H36" s="19">
        <v>6396190.5999999996</v>
      </c>
      <c r="I36" s="19">
        <v>6469636.5099999998</v>
      </c>
      <c r="J36" s="19">
        <v>6930986.4400000004</v>
      </c>
      <c r="K36" s="19"/>
      <c r="L36" s="19"/>
      <c r="M36" s="19"/>
      <c r="N36" s="19"/>
      <c r="O36" s="19"/>
      <c r="P36" s="19"/>
      <c r="Q36" s="19"/>
      <c r="R36" s="19">
        <f t="shared" si="7"/>
        <v>33789511.899999999</v>
      </c>
      <c r="S36" s="19">
        <f t="shared" si="9"/>
        <v>50710488.100000001</v>
      </c>
    </row>
    <row r="37" spans="1:19" x14ac:dyDescent="0.25">
      <c r="A37" s="24" t="s">
        <v>21</v>
      </c>
      <c r="B37" s="24" t="s">
        <v>122</v>
      </c>
      <c r="C37" s="19">
        <v>1000000</v>
      </c>
      <c r="D37" s="19">
        <v>0</v>
      </c>
      <c r="E37" s="19">
        <f t="shared" si="6"/>
        <v>1000000</v>
      </c>
      <c r="F37" s="19">
        <v>90764</v>
      </c>
      <c r="G37" s="19">
        <v>78901</v>
      </c>
      <c r="H37" s="19">
        <v>75301</v>
      </c>
      <c r="I37" s="19">
        <v>10564</v>
      </c>
      <c r="J37" s="19">
        <v>149857</v>
      </c>
      <c r="K37" s="19"/>
      <c r="L37" s="19"/>
      <c r="M37" s="19"/>
      <c r="N37" s="19"/>
      <c r="O37" s="19"/>
      <c r="P37" s="19"/>
      <c r="Q37" s="19"/>
      <c r="R37" s="19">
        <f t="shared" si="7"/>
        <v>405387</v>
      </c>
      <c r="S37" s="19">
        <f t="shared" si="9"/>
        <v>594613</v>
      </c>
    </row>
    <row r="38" spans="1:19" x14ac:dyDescent="0.25">
      <c r="A38" s="24" t="s">
        <v>22</v>
      </c>
      <c r="B38" s="24" t="s">
        <v>123</v>
      </c>
      <c r="C38" s="19">
        <v>325000</v>
      </c>
      <c r="D38" s="19">
        <v>0</v>
      </c>
      <c r="E38" s="19">
        <f t="shared" si="6"/>
        <v>325000</v>
      </c>
      <c r="F38" s="19">
        <v>23894</v>
      </c>
      <c r="G38" s="19">
        <v>42859</v>
      </c>
      <c r="H38" s="19">
        <v>25359</v>
      </c>
      <c r="I38" s="19">
        <v>25084</v>
      </c>
      <c r="J38" s="19">
        <v>26634</v>
      </c>
      <c r="K38" s="19"/>
      <c r="L38" s="19"/>
      <c r="M38" s="19"/>
      <c r="N38" s="19"/>
      <c r="O38" s="19"/>
      <c r="P38" s="19"/>
      <c r="Q38" s="19"/>
      <c r="R38" s="19">
        <f t="shared" si="7"/>
        <v>143830</v>
      </c>
      <c r="S38" s="19">
        <f t="shared" si="9"/>
        <v>181170</v>
      </c>
    </row>
    <row r="39" spans="1:19" x14ac:dyDescent="0.25">
      <c r="A39" s="24" t="s">
        <v>23</v>
      </c>
      <c r="B39" s="24" t="s">
        <v>124</v>
      </c>
      <c r="C39" s="19">
        <v>14850000</v>
      </c>
      <c r="D39" s="19">
        <v>0</v>
      </c>
      <c r="E39" s="19">
        <f t="shared" si="6"/>
        <v>14850000</v>
      </c>
      <c r="F39" s="19">
        <v>1173049.3799999999</v>
      </c>
      <c r="G39" s="19">
        <v>1032677.94</v>
      </c>
      <c r="H39" s="19">
        <v>908510.4</v>
      </c>
      <c r="I39" s="19">
        <v>680310.12</v>
      </c>
      <c r="J39" s="19">
        <v>845631.56</v>
      </c>
      <c r="K39" s="19"/>
      <c r="L39" s="19"/>
      <c r="M39" s="19"/>
      <c r="N39" s="19"/>
      <c r="O39" s="19"/>
      <c r="P39" s="19"/>
      <c r="Q39" s="19"/>
      <c r="R39" s="19">
        <f t="shared" si="7"/>
        <v>4640179.4000000004</v>
      </c>
      <c r="S39" s="19">
        <f t="shared" si="9"/>
        <v>10209820.6</v>
      </c>
    </row>
    <row r="40" spans="1:19" x14ac:dyDescent="0.25">
      <c r="A40" s="24" t="s">
        <v>24</v>
      </c>
      <c r="B40" s="24" t="s">
        <v>125</v>
      </c>
      <c r="C40" s="19">
        <v>6000000</v>
      </c>
      <c r="D40" s="19">
        <v>0</v>
      </c>
      <c r="E40" s="19">
        <f t="shared" si="6"/>
        <v>6000000</v>
      </c>
      <c r="F40" s="19">
        <v>3389665.73</v>
      </c>
      <c r="G40" s="19">
        <v>632067</v>
      </c>
      <c r="H40" s="19">
        <v>213172.31</v>
      </c>
      <c r="I40" s="19">
        <v>27958.41</v>
      </c>
      <c r="J40" s="19">
        <v>132580.25</v>
      </c>
      <c r="K40" s="19"/>
      <c r="L40" s="19"/>
      <c r="M40" s="19"/>
      <c r="N40" s="19"/>
      <c r="O40" s="19"/>
      <c r="P40" s="19"/>
      <c r="Q40" s="19"/>
      <c r="R40" s="19">
        <f t="shared" si="7"/>
        <v>4395443.7</v>
      </c>
      <c r="S40" s="19">
        <f t="shared" si="9"/>
        <v>1604556.2999999998</v>
      </c>
    </row>
    <row r="41" spans="1:19" x14ac:dyDescent="0.25">
      <c r="A41" s="24" t="s">
        <v>25</v>
      </c>
      <c r="B41" s="24" t="s">
        <v>126</v>
      </c>
      <c r="C41" s="19">
        <v>182000000</v>
      </c>
      <c r="D41" s="19">
        <v>0</v>
      </c>
      <c r="E41" s="19">
        <f t="shared" si="6"/>
        <v>182000000</v>
      </c>
      <c r="F41" s="19">
        <v>13277577.51</v>
      </c>
      <c r="G41" s="19">
        <v>14425249.68</v>
      </c>
      <c r="H41" s="19">
        <v>14701124.66</v>
      </c>
      <c r="I41" s="19">
        <v>13196837.100000001</v>
      </c>
      <c r="J41" s="19">
        <v>14395618.83</v>
      </c>
      <c r="K41" s="19"/>
      <c r="L41" s="19"/>
      <c r="M41" s="19"/>
      <c r="N41" s="19"/>
      <c r="O41" s="19"/>
      <c r="P41" s="19"/>
      <c r="Q41" s="19"/>
      <c r="R41" s="19">
        <f t="shared" si="7"/>
        <v>69996407.780000001</v>
      </c>
      <c r="S41" s="19">
        <f t="shared" si="9"/>
        <v>112003592.22</v>
      </c>
    </row>
    <row r="42" spans="1:19" x14ac:dyDescent="0.25">
      <c r="A42" s="24" t="s">
        <v>26</v>
      </c>
      <c r="B42" s="24" t="s">
        <v>127</v>
      </c>
      <c r="C42" s="19">
        <v>13000000</v>
      </c>
      <c r="D42" s="19">
        <v>0</v>
      </c>
      <c r="E42" s="19">
        <f t="shared" si="6"/>
        <v>13000000</v>
      </c>
      <c r="F42" s="19">
        <v>19276.29</v>
      </c>
      <c r="G42" s="19">
        <v>1399449.04</v>
      </c>
      <c r="H42" s="19">
        <v>812511.37</v>
      </c>
      <c r="I42" s="19">
        <v>2118743.89</v>
      </c>
      <c r="J42" s="19">
        <v>1971773.22</v>
      </c>
      <c r="K42" s="19"/>
      <c r="L42" s="19"/>
      <c r="M42" s="19"/>
      <c r="N42" s="19"/>
      <c r="O42" s="19"/>
      <c r="P42" s="19"/>
      <c r="Q42" s="19"/>
      <c r="R42" s="19">
        <f t="shared" si="7"/>
        <v>6321753.8099999996</v>
      </c>
      <c r="S42" s="19">
        <f t="shared" si="9"/>
        <v>6678246.1900000004</v>
      </c>
    </row>
    <row r="43" spans="1:19" x14ac:dyDescent="0.25">
      <c r="A43" s="24" t="s">
        <v>27</v>
      </c>
      <c r="B43" s="24" t="s">
        <v>128</v>
      </c>
      <c r="C43" s="19">
        <v>9000000</v>
      </c>
      <c r="D43" s="19">
        <v>0</v>
      </c>
      <c r="E43" s="19">
        <f t="shared" si="6"/>
        <v>9000000</v>
      </c>
      <c r="F43" s="19">
        <v>1385222.21</v>
      </c>
      <c r="G43" s="19">
        <v>1352899.08</v>
      </c>
      <c r="H43" s="19">
        <v>651410.09</v>
      </c>
      <c r="I43" s="19">
        <v>510197</v>
      </c>
      <c r="J43" s="19">
        <v>2301227.9700000002</v>
      </c>
      <c r="K43" s="19"/>
      <c r="L43" s="19"/>
      <c r="M43" s="19"/>
      <c r="N43" s="19"/>
      <c r="O43" s="19"/>
      <c r="P43" s="19"/>
      <c r="Q43" s="19"/>
      <c r="R43" s="19">
        <f t="shared" si="7"/>
        <v>6200956.3499999996</v>
      </c>
      <c r="S43" s="19">
        <f t="shared" si="9"/>
        <v>2799043.6500000004</v>
      </c>
    </row>
    <row r="44" spans="1:19" x14ac:dyDescent="0.25">
      <c r="A44" s="24" t="s">
        <v>28</v>
      </c>
      <c r="B44" s="24" t="s">
        <v>129</v>
      </c>
      <c r="C44" s="19">
        <v>700000</v>
      </c>
      <c r="D44" s="19">
        <v>446152.82</v>
      </c>
      <c r="E44" s="19">
        <f t="shared" si="6"/>
        <v>1146152.82</v>
      </c>
      <c r="F44" s="19">
        <v>132980.82</v>
      </c>
      <c r="G44" s="19">
        <v>117403.15</v>
      </c>
      <c r="H44" s="19">
        <v>120306</v>
      </c>
      <c r="I44" s="19">
        <v>140338.08000000002</v>
      </c>
      <c r="J44" s="19">
        <v>135918</v>
      </c>
      <c r="K44" s="19"/>
      <c r="L44" s="19"/>
      <c r="M44" s="19"/>
      <c r="N44" s="19"/>
      <c r="O44" s="19"/>
      <c r="P44" s="19"/>
      <c r="Q44" s="19"/>
      <c r="R44" s="19">
        <f t="shared" si="7"/>
        <v>646946.05000000005</v>
      </c>
      <c r="S44" s="19">
        <f t="shared" si="9"/>
        <v>499206.77</v>
      </c>
    </row>
    <row r="45" spans="1:19" x14ac:dyDescent="0.25">
      <c r="A45" s="24" t="s">
        <v>302</v>
      </c>
      <c r="B45" s="24" t="s">
        <v>301</v>
      </c>
      <c r="C45" s="19">
        <v>1000000</v>
      </c>
      <c r="D45" s="19">
        <v>-254561</v>
      </c>
      <c r="E45" s="19">
        <f t="shared" si="6"/>
        <v>745439</v>
      </c>
      <c r="F45" s="19">
        <v>0</v>
      </c>
      <c r="G45" s="19">
        <v>0</v>
      </c>
      <c r="H45" s="19">
        <v>0</v>
      </c>
      <c r="I45" s="19"/>
      <c r="J45" s="19">
        <v>0</v>
      </c>
      <c r="K45" s="19"/>
      <c r="L45" s="19"/>
      <c r="M45" s="19"/>
      <c r="N45" s="19"/>
      <c r="O45" s="19"/>
      <c r="P45" s="19"/>
      <c r="Q45" s="19"/>
      <c r="R45" s="19">
        <f t="shared" si="7"/>
        <v>0</v>
      </c>
      <c r="S45" s="19">
        <f t="shared" si="9"/>
        <v>745439</v>
      </c>
    </row>
    <row r="46" spans="1:19" x14ac:dyDescent="0.25">
      <c r="A46" s="24" t="s">
        <v>29</v>
      </c>
      <c r="B46" s="24" t="s">
        <v>130</v>
      </c>
      <c r="C46" s="19">
        <v>700000</v>
      </c>
      <c r="D46" s="19">
        <v>254561</v>
      </c>
      <c r="E46" s="19">
        <f t="shared" si="6"/>
        <v>954561</v>
      </c>
      <c r="F46" s="19">
        <v>312263</v>
      </c>
      <c r="G46" s="19">
        <v>830</v>
      </c>
      <c r="H46" s="19">
        <v>311233</v>
      </c>
      <c r="I46" s="19">
        <v>7880</v>
      </c>
      <c r="J46" s="19">
        <v>322355</v>
      </c>
      <c r="K46" s="19"/>
      <c r="L46" s="19"/>
      <c r="M46" s="19"/>
      <c r="N46" s="19"/>
      <c r="O46" s="19"/>
      <c r="P46" s="19"/>
      <c r="Q46" s="19"/>
      <c r="R46" s="19">
        <f t="shared" si="7"/>
        <v>954561</v>
      </c>
      <c r="S46" s="19">
        <f t="shared" si="9"/>
        <v>0</v>
      </c>
    </row>
    <row r="47" spans="1:19" x14ac:dyDescent="0.25">
      <c r="A47" s="24" t="s">
        <v>30</v>
      </c>
      <c r="B47" s="24" t="s">
        <v>131</v>
      </c>
      <c r="C47" s="19">
        <v>241000000</v>
      </c>
      <c r="D47" s="19">
        <v>0</v>
      </c>
      <c r="E47" s="19">
        <f t="shared" si="6"/>
        <v>241000000</v>
      </c>
      <c r="F47" s="19">
        <v>72800</v>
      </c>
      <c r="G47" s="19">
        <v>33309765.600000001</v>
      </c>
      <c r="H47" s="19">
        <v>44614384</v>
      </c>
      <c r="I47" s="19">
        <v>48000</v>
      </c>
      <c r="J47" s="19">
        <v>44920293.200000003</v>
      </c>
      <c r="K47" s="19"/>
      <c r="L47" s="19"/>
      <c r="M47" s="19"/>
      <c r="N47" s="19"/>
      <c r="O47" s="19"/>
      <c r="P47" s="19"/>
      <c r="Q47" s="19"/>
      <c r="R47" s="19">
        <f t="shared" si="7"/>
        <v>122965242.8</v>
      </c>
      <c r="S47" s="19">
        <f t="shared" si="9"/>
        <v>118034757.2</v>
      </c>
    </row>
    <row r="48" spans="1:19" x14ac:dyDescent="0.25">
      <c r="A48" s="24" t="s">
        <v>303</v>
      </c>
      <c r="B48" s="24" t="s">
        <v>304</v>
      </c>
      <c r="C48" s="19">
        <v>21000000</v>
      </c>
      <c r="D48" s="19">
        <v>0</v>
      </c>
      <c r="E48" s="19">
        <f t="shared" si="6"/>
        <v>21000000</v>
      </c>
      <c r="F48" s="19">
        <v>0</v>
      </c>
      <c r="G48" s="19">
        <v>6710393.2800000003</v>
      </c>
      <c r="H48" s="19"/>
      <c r="I48" s="19"/>
      <c r="J48" s="19"/>
      <c r="K48" s="19"/>
      <c r="L48" s="19"/>
      <c r="M48" s="19"/>
      <c r="N48" s="19"/>
      <c r="O48" s="19"/>
      <c r="P48" s="19"/>
      <c r="Q48" s="19"/>
      <c r="R48" s="19">
        <f t="shared" si="7"/>
        <v>6710393.2800000003</v>
      </c>
      <c r="S48" s="19">
        <f t="shared" si="9"/>
        <v>14289606.719999999</v>
      </c>
    </row>
    <row r="49" spans="1:19" x14ac:dyDescent="0.25">
      <c r="A49" s="24" t="s">
        <v>258</v>
      </c>
      <c r="B49" s="24" t="s">
        <v>259</v>
      </c>
      <c r="C49" s="19">
        <v>300000</v>
      </c>
      <c r="D49" s="19">
        <v>0</v>
      </c>
      <c r="E49" s="19">
        <f t="shared" si="6"/>
        <v>300000</v>
      </c>
      <c r="F49" s="19">
        <v>14655.6</v>
      </c>
      <c r="G49" s="19">
        <v>0</v>
      </c>
      <c r="H49" s="19"/>
      <c r="I49" s="19"/>
      <c r="J49" s="19"/>
      <c r="K49" s="19"/>
      <c r="L49" s="19"/>
      <c r="M49" s="19"/>
      <c r="N49" s="19"/>
      <c r="O49" s="19"/>
      <c r="P49" s="19"/>
      <c r="Q49" s="19"/>
      <c r="R49" s="19">
        <f t="shared" si="7"/>
        <v>14655.6</v>
      </c>
      <c r="S49" s="19">
        <f t="shared" si="9"/>
        <v>285344.40000000002</v>
      </c>
    </row>
    <row r="50" spans="1:19" x14ac:dyDescent="0.25">
      <c r="A50" s="24" t="s">
        <v>284</v>
      </c>
      <c r="B50" s="24" t="s">
        <v>285</v>
      </c>
      <c r="C50" s="19">
        <v>500000</v>
      </c>
      <c r="D50" s="19">
        <v>0</v>
      </c>
      <c r="E50" s="19">
        <f t="shared" si="6"/>
        <v>500000</v>
      </c>
      <c r="F50" s="19">
        <v>0</v>
      </c>
      <c r="G50" s="19">
        <v>0</v>
      </c>
      <c r="H50" s="19"/>
      <c r="I50" s="19"/>
      <c r="J50" s="19"/>
      <c r="K50" s="19"/>
      <c r="L50" s="19"/>
      <c r="M50" s="19"/>
      <c r="N50" s="19"/>
      <c r="O50" s="19"/>
      <c r="P50" s="19"/>
      <c r="Q50" s="19"/>
      <c r="R50" s="19">
        <f t="shared" si="7"/>
        <v>0</v>
      </c>
      <c r="S50" s="19">
        <f t="shared" si="9"/>
        <v>500000</v>
      </c>
    </row>
    <row r="51" spans="1:19" x14ac:dyDescent="0.25">
      <c r="A51" s="24" t="s">
        <v>31</v>
      </c>
      <c r="B51" s="24" t="s">
        <v>132</v>
      </c>
      <c r="C51" s="19">
        <v>5000000</v>
      </c>
      <c r="D51" s="19">
        <v>0</v>
      </c>
      <c r="E51" s="19">
        <f t="shared" si="6"/>
        <v>5000000</v>
      </c>
      <c r="F51" s="19">
        <v>366910</v>
      </c>
      <c r="G51" s="19">
        <v>356920</v>
      </c>
      <c r="H51" s="19">
        <v>270895.59999999998</v>
      </c>
      <c r="I51" s="19">
        <v>129706.83</v>
      </c>
      <c r="J51" s="19">
        <v>843208.17</v>
      </c>
      <c r="K51" s="19"/>
      <c r="L51" s="19"/>
      <c r="M51" s="19"/>
      <c r="N51" s="19"/>
      <c r="O51" s="19"/>
      <c r="P51" s="19"/>
      <c r="Q51" s="19"/>
      <c r="R51" s="19">
        <f t="shared" si="7"/>
        <v>1967640.6</v>
      </c>
      <c r="S51" s="19">
        <f t="shared" si="9"/>
        <v>3032359.4</v>
      </c>
    </row>
    <row r="52" spans="1:19" x14ac:dyDescent="0.25">
      <c r="A52" s="24" t="s">
        <v>32</v>
      </c>
      <c r="B52" s="24" t="s">
        <v>133</v>
      </c>
      <c r="C52" s="19">
        <v>1000000</v>
      </c>
      <c r="D52" s="19">
        <v>0</v>
      </c>
      <c r="E52" s="19">
        <f t="shared" si="6"/>
        <v>1000000</v>
      </c>
      <c r="F52" s="19">
        <v>10162.280000000001</v>
      </c>
      <c r="G52" s="19">
        <v>0</v>
      </c>
      <c r="H52" s="19">
        <v>15882.8</v>
      </c>
      <c r="I52" s="19"/>
      <c r="J52" s="19">
        <v>35818.31</v>
      </c>
      <c r="K52" s="19"/>
      <c r="L52" s="19"/>
      <c r="M52" s="19"/>
      <c r="N52" s="19"/>
      <c r="O52" s="19"/>
      <c r="P52" s="19"/>
      <c r="Q52" s="19"/>
      <c r="R52" s="19">
        <f t="shared" si="7"/>
        <v>61863.39</v>
      </c>
      <c r="S52" s="19">
        <f t="shared" si="9"/>
        <v>938136.61</v>
      </c>
    </row>
    <row r="53" spans="1:19" x14ac:dyDescent="0.25">
      <c r="A53" s="24" t="s">
        <v>33</v>
      </c>
      <c r="B53" s="24" t="s">
        <v>134</v>
      </c>
      <c r="C53" s="19">
        <v>7000000</v>
      </c>
      <c r="D53" s="19">
        <v>0</v>
      </c>
      <c r="E53" s="19">
        <f t="shared" si="6"/>
        <v>7000000</v>
      </c>
      <c r="F53" s="19">
        <v>503194.94</v>
      </c>
      <c r="G53" s="19">
        <v>503194.94</v>
      </c>
      <c r="H53" s="19">
        <v>413194.94</v>
      </c>
      <c r="I53" s="19">
        <v>413194.94</v>
      </c>
      <c r="J53" s="19">
        <v>413194.94</v>
      </c>
      <c r="K53" s="19"/>
      <c r="L53" s="19"/>
      <c r="M53" s="19"/>
      <c r="N53" s="19"/>
      <c r="O53" s="19"/>
      <c r="P53" s="19"/>
      <c r="Q53" s="19"/>
      <c r="R53" s="19">
        <f t="shared" si="7"/>
        <v>2245974.7000000002</v>
      </c>
      <c r="S53" s="19">
        <f t="shared" si="9"/>
        <v>4754025.3</v>
      </c>
    </row>
    <row r="54" spans="1:19" x14ac:dyDescent="0.25">
      <c r="A54" s="24" t="s">
        <v>34</v>
      </c>
      <c r="B54" s="24" t="s">
        <v>135</v>
      </c>
      <c r="C54" s="19">
        <v>22100000</v>
      </c>
      <c r="D54" s="19">
        <v>0</v>
      </c>
      <c r="E54" s="19">
        <f t="shared" si="6"/>
        <v>22100000</v>
      </c>
      <c r="F54" s="19">
        <v>1920575.06</v>
      </c>
      <c r="G54" s="19">
        <v>1920575.05</v>
      </c>
      <c r="H54" s="19">
        <v>1813121.36</v>
      </c>
      <c r="I54" s="19">
        <v>2904180.05</v>
      </c>
      <c r="J54" s="19">
        <v>1817624.47</v>
      </c>
      <c r="K54" s="19"/>
      <c r="L54" s="19"/>
      <c r="M54" s="19"/>
      <c r="N54" s="19"/>
      <c r="O54" s="19"/>
      <c r="P54" s="19"/>
      <c r="Q54" s="19"/>
      <c r="R54" s="19">
        <f t="shared" si="7"/>
        <v>10376075.99</v>
      </c>
      <c r="S54" s="19">
        <f t="shared" si="9"/>
        <v>11723924.01</v>
      </c>
    </row>
    <row r="55" spans="1:19" x14ac:dyDescent="0.25">
      <c r="A55" s="24" t="s">
        <v>35</v>
      </c>
      <c r="B55" s="24" t="s">
        <v>136</v>
      </c>
      <c r="C55" s="19">
        <v>103540666</v>
      </c>
      <c r="D55" s="19">
        <v>0</v>
      </c>
      <c r="E55" s="19">
        <f t="shared" si="6"/>
        <v>103540666</v>
      </c>
      <c r="F55" s="19">
        <v>10584095.48</v>
      </c>
      <c r="G55" s="19">
        <v>10209028.310000001</v>
      </c>
      <c r="H55" s="19">
        <v>8685377.0199999996</v>
      </c>
      <c r="I55" s="19">
        <v>9759145.6600000001</v>
      </c>
      <c r="J55" s="19">
        <v>9681205.0099999998</v>
      </c>
      <c r="K55" s="19"/>
      <c r="L55" s="19"/>
      <c r="M55" s="19"/>
      <c r="N55" s="19"/>
      <c r="O55" s="19"/>
      <c r="P55" s="19"/>
      <c r="Q55" s="19"/>
      <c r="R55" s="19">
        <f t="shared" si="7"/>
        <v>48918851.479999997</v>
      </c>
      <c r="S55" s="19">
        <f t="shared" si="9"/>
        <v>54621814.520000003</v>
      </c>
    </row>
    <row r="56" spans="1:19" x14ac:dyDescent="0.25">
      <c r="A56" s="24" t="s">
        <v>260</v>
      </c>
      <c r="B56" s="24" t="s">
        <v>261</v>
      </c>
      <c r="C56" s="19">
        <v>1505000</v>
      </c>
      <c r="D56" s="19">
        <v>0</v>
      </c>
      <c r="E56" s="19">
        <f t="shared" si="6"/>
        <v>1505000</v>
      </c>
      <c r="F56" s="19">
        <v>119684.55</v>
      </c>
      <c r="G56" s="19">
        <v>119684.56</v>
      </c>
      <c r="H56" s="19">
        <v>119684.56</v>
      </c>
      <c r="I56" s="19">
        <v>119684.56</v>
      </c>
      <c r="J56" s="19">
        <v>119897.64</v>
      </c>
      <c r="K56" s="19"/>
      <c r="L56" s="19"/>
      <c r="M56" s="19"/>
      <c r="N56" s="19"/>
      <c r="O56" s="19"/>
      <c r="P56" s="19"/>
      <c r="Q56" s="19"/>
      <c r="R56" s="19">
        <f t="shared" si="7"/>
        <v>598635.87</v>
      </c>
      <c r="S56" s="19">
        <f t="shared" si="9"/>
        <v>906364.13</v>
      </c>
    </row>
    <row r="57" spans="1:19" x14ac:dyDescent="0.25">
      <c r="A57" s="24" t="s">
        <v>36</v>
      </c>
      <c r="B57" s="24" t="s">
        <v>137</v>
      </c>
      <c r="C57" s="19">
        <v>74363520</v>
      </c>
      <c r="D57" s="19">
        <v>-6774907.1699999999</v>
      </c>
      <c r="E57" s="19">
        <f t="shared" si="6"/>
        <v>67588612.829999998</v>
      </c>
      <c r="F57" s="19">
        <v>1695306.82</v>
      </c>
      <c r="G57" s="19">
        <v>1693851.24</v>
      </c>
      <c r="H57" s="19">
        <v>3551458.1100000003</v>
      </c>
      <c r="I57" s="19">
        <v>1884975.75</v>
      </c>
      <c r="J57" s="19">
        <v>3356118.67</v>
      </c>
      <c r="K57" s="19"/>
      <c r="L57" s="19"/>
      <c r="M57" s="19"/>
      <c r="N57" s="19"/>
      <c r="O57" s="19"/>
      <c r="P57" s="19"/>
      <c r="Q57" s="19"/>
      <c r="R57" s="19">
        <f t="shared" si="7"/>
        <v>12181710.59</v>
      </c>
      <c r="S57" s="19">
        <f t="shared" si="9"/>
        <v>55406902.239999995</v>
      </c>
    </row>
    <row r="58" spans="1:19" x14ac:dyDescent="0.25">
      <c r="A58" s="24" t="s">
        <v>37</v>
      </c>
      <c r="B58" s="24" t="s">
        <v>138</v>
      </c>
      <c r="C58" s="19">
        <v>2000000</v>
      </c>
      <c r="D58" s="19">
        <v>6774907.1699999999</v>
      </c>
      <c r="E58" s="19">
        <f t="shared" si="6"/>
        <v>8774907.1699999999</v>
      </c>
      <c r="F58" s="19">
        <v>358179.07</v>
      </c>
      <c r="G58" s="19">
        <v>176622.4</v>
      </c>
      <c r="H58" s="19">
        <v>268149</v>
      </c>
      <c r="I58" s="19">
        <v>3851620.79</v>
      </c>
      <c r="J58" s="19">
        <v>4120335.91</v>
      </c>
      <c r="K58" s="19"/>
      <c r="L58" s="19"/>
      <c r="M58" s="19"/>
      <c r="N58" s="19"/>
      <c r="O58" s="19"/>
      <c r="P58" s="19"/>
      <c r="Q58" s="19"/>
      <c r="R58" s="19">
        <f t="shared" si="7"/>
        <v>8774907.1699999999</v>
      </c>
      <c r="S58" s="19">
        <f t="shared" si="9"/>
        <v>0</v>
      </c>
    </row>
    <row r="59" spans="1:19" x14ac:dyDescent="0.25">
      <c r="A59" s="24" t="s">
        <v>38</v>
      </c>
      <c r="B59" s="24" t="s">
        <v>139</v>
      </c>
      <c r="C59" s="19">
        <v>6200000</v>
      </c>
      <c r="D59" s="19">
        <v>0</v>
      </c>
      <c r="E59" s="19">
        <f t="shared" si="6"/>
        <v>6200000</v>
      </c>
      <c r="F59" s="19"/>
      <c r="G59" s="19">
        <v>480000.4</v>
      </c>
      <c r="H59" s="19">
        <v>960000.8</v>
      </c>
      <c r="I59" s="19">
        <v>255588</v>
      </c>
      <c r="J59" s="19"/>
      <c r="K59" s="19"/>
      <c r="L59" s="19"/>
      <c r="M59" s="19"/>
      <c r="N59" s="19"/>
      <c r="O59" s="19"/>
      <c r="P59" s="19"/>
      <c r="Q59" s="19"/>
      <c r="R59" s="19">
        <f t="shared" si="7"/>
        <v>1695589.2000000002</v>
      </c>
      <c r="S59" s="19">
        <f t="shared" si="9"/>
        <v>4504410.8</v>
      </c>
    </row>
    <row r="60" spans="1:19" x14ac:dyDescent="0.25">
      <c r="A60" s="24" t="s">
        <v>339</v>
      </c>
      <c r="B60" s="24" t="s">
        <v>340</v>
      </c>
      <c r="C60" s="19"/>
      <c r="D60" s="19">
        <v>0</v>
      </c>
      <c r="E60" s="19">
        <f t="shared" si="6"/>
        <v>0</v>
      </c>
      <c r="F60" s="19"/>
      <c r="G60" s="19"/>
      <c r="H60" s="19"/>
      <c r="I60" s="19"/>
      <c r="J60" s="19"/>
      <c r="K60" s="19"/>
      <c r="L60" s="19"/>
      <c r="M60" s="19"/>
      <c r="N60" s="19"/>
      <c r="O60" s="19"/>
      <c r="P60" s="19"/>
      <c r="Q60" s="19"/>
      <c r="R60" s="19">
        <f t="shared" si="7"/>
        <v>0</v>
      </c>
      <c r="S60" s="19">
        <f t="shared" si="9"/>
        <v>0</v>
      </c>
    </row>
    <row r="61" spans="1:19" x14ac:dyDescent="0.25">
      <c r="A61" s="24" t="s">
        <v>211</v>
      </c>
      <c r="B61" s="24" t="s">
        <v>212</v>
      </c>
      <c r="C61" s="19">
        <v>1000000</v>
      </c>
      <c r="D61" s="19">
        <v>0</v>
      </c>
      <c r="E61" s="19">
        <f t="shared" si="6"/>
        <v>1000000</v>
      </c>
      <c r="F61" s="19"/>
      <c r="G61" s="19"/>
      <c r="H61" s="19"/>
      <c r="I61" s="19"/>
      <c r="J61" s="19"/>
      <c r="K61" s="19"/>
      <c r="L61" s="19"/>
      <c r="M61" s="19"/>
      <c r="N61" s="19"/>
      <c r="O61" s="19"/>
      <c r="P61" s="19"/>
      <c r="Q61" s="19"/>
      <c r="R61" s="19">
        <f t="shared" si="7"/>
        <v>0</v>
      </c>
      <c r="S61" s="19">
        <f t="shared" si="9"/>
        <v>1000000</v>
      </c>
    </row>
    <row r="62" spans="1:19" x14ac:dyDescent="0.25">
      <c r="A62" s="24" t="s">
        <v>309</v>
      </c>
      <c r="B62" s="24" t="s">
        <v>310</v>
      </c>
      <c r="C62" s="19">
        <v>1000000</v>
      </c>
      <c r="D62" s="19">
        <v>0</v>
      </c>
      <c r="E62" s="19">
        <f t="shared" si="6"/>
        <v>1000000</v>
      </c>
      <c r="F62" s="19">
        <v>617612.07999999996</v>
      </c>
      <c r="G62" s="19"/>
      <c r="H62" s="19"/>
      <c r="I62" s="19"/>
      <c r="J62" s="19">
        <v>342699.99</v>
      </c>
      <c r="K62" s="19"/>
      <c r="L62" s="19"/>
      <c r="M62" s="19"/>
      <c r="N62" s="19"/>
      <c r="O62" s="19"/>
      <c r="P62" s="19"/>
      <c r="Q62" s="19"/>
      <c r="R62" s="19">
        <f t="shared" si="7"/>
        <v>960312.07</v>
      </c>
      <c r="S62" s="19">
        <f t="shared" si="9"/>
        <v>39687.930000000051</v>
      </c>
    </row>
    <row r="63" spans="1:19" x14ac:dyDescent="0.25">
      <c r="A63" s="24" t="s">
        <v>216</v>
      </c>
      <c r="B63" s="24" t="s">
        <v>233</v>
      </c>
      <c r="C63" s="19">
        <v>18000000</v>
      </c>
      <c r="D63" s="19">
        <v>-2436061.33</v>
      </c>
      <c r="E63" s="19">
        <f t="shared" si="6"/>
        <v>15563938.67</v>
      </c>
      <c r="F63" s="19">
        <v>632200.34</v>
      </c>
      <c r="G63" s="19">
        <v>271046.11</v>
      </c>
      <c r="H63" s="19">
        <v>1779886.8</v>
      </c>
      <c r="I63" s="19">
        <v>1029866.03</v>
      </c>
      <c r="J63" s="19">
        <v>769086.01</v>
      </c>
      <c r="K63" s="19"/>
      <c r="L63" s="19"/>
      <c r="M63" s="19"/>
      <c r="N63" s="19"/>
      <c r="O63" s="19"/>
      <c r="P63" s="19"/>
      <c r="Q63" s="19"/>
      <c r="R63" s="19">
        <f t="shared" si="7"/>
        <v>4482085.29</v>
      </c>
      <c r="S63" s="19">
        <f t="shared" si="9"/>
        <v>11081853.379999999</v>
      </c>
    </row>
    <row r="64" spans="1:19" x14ac:dyDescent="0.25">
      <c r="A64" s="24" t="s">
        <v>39</v>
      </c>
      <c r="B64" s="24" t="s">
        <v>140</v>
      </c>
      <c r="C64" s="19">
        <v>6000000</v>
      </c>
      <c r="D64" s="19">
        <v>0</v>
      </c>
      <c r="E64" s="19">
        <f t="shared" si="6"/>
        <v>6000000</v>
      </c>
      <c r="F64" s="19">
        <v>148090</v>
      </c>
      <c r="G64" s="19">
        <v>473639.3</v>
      </c>
      <c r="H64" s="19">
        <v>151093.1</v>
      </c>
      <c r="I64" s="19"/>
      <c r="J64" s="19">
        <v>0</v>
      </c>
      <c r="K64" s="19"/>
      <c r="L64" s="19"/>
      <c r="M64" s="19"/>
      <c r="N64" s="19"/>
      <c r="O64" s="19"/>
      <c r="P64" s="19"/>
      <c r="Q64" s="19"/>
      <c r="R64" s="19">
        <f t="shared" si="7"/>
        <v>772822.4</v>
      </c>
      <c r="S64" s="19">
        <f t="shared" si="9"/>
        <v>5227177.5999999996</v>
      </c>
    </row>
    <row r="65" spans="1:19" x14ac:dyDescent="0.25">
      <c r="A65" s="24" t="s">
        <v>343</v>
      </c>
      <c r="B65" s="24" t="s">
        <v>344</v>
      </c>
      <c r="C65" s="19"/>
      <c r="D65" s="19">
        <v>481633.56</v>
      </c>
      <c r="E65" s="19">
        <f t="shared" si="6"/>
        <v>481633.56</v>
      </c>
      <c r="F65" s="19">
        <v>443753.16</v>
      </c>
      <c r="G65" s="19">
        <v>0</v>
      </c>
      <c r="H65" s="19">
        <v>37880.400000000001</v>
      </c>
      <c r="I65" s="19"/>
      <c r="J65" s="19">
        <v>0</v>
      </c>
      <c r="K65" s="19"/>
      <c r="L65" s="19"/>
      <c r="M65" s="19"/>
      <c r="N65" s="19"/>
      <c r="O65" s="19"/>
      <c r="P65" s="19"/>
      <c r="Q65" s="19"/>
      <c r="R65" s="19">
        <f t="shared" si="7"/>
        <v>481633.56</v>
      </c>
      <c r="S65" s="19">
        <f t="shared" si="9"/>
        <v>0</v>
      </c>
    </row>
    <row r="66" spans="1:19" x14ac:dyDescent="0.25">
      <c r="A66" s="24" t="s">
        <v>40</v>
      </c>
      <c r="B66" s="24" t="s">
        <v>142</v>
      </c>
      <c r="C66" s="19">
        <v>4000000</v>
      </c>
      <c r="D66" s="19">
        <v>0</v>
      </c>
      <c r="E66" s="19">
        <f t="shared" si="6"/>
        <v>4000000</v>
      </c>
      <c r="F66" s="19">
        <v>688954.8</v>
      </c>
      <c r="G66" s="19">
        <v>769951.48</v>
      </c>
      <c r="H66" s="19">
        <v>697775.3</v>
      </c>
      <c r="I66" s="19"/>
      <c r="J66" s="19">
        <v>0</v>
      </c>
      <c r="K66" s="19"/>
      <c r="L66" s="19"/>
      <c r="M66" s="19"/>
      <c r="N66" s="19"/>
      <c r="O66" s="19"/>
      <c r="P66" s="19"/>
      <c r="Q66" s="19"/>
      <c r="R66" s="19">
        <f t="shared" si="7"/>
        <v>2156681.58</v>
      </c>
      <c r="S66" s="19">
        <f t="shared" si="9"/>
        <v>1843318.42</v>
      </c>
    </row>
    <row r="67" spans="1:19" x14ac:dyDescent="0.25">
      <c r="A67" s="24" t="s">
        <v>41</v>
      </c>
      <c r="B67" s="24" t="s">
        <v>141</v>
      </c>
      <c r="C67" s="19">
        <v>1000000</v>
      </c>
      <c r="D67" s="19">
        <v>0</v>
      </c>
      <c r="E67" s="19">
        <f t="shared" si="6"/>
        <v>1000000</v>
      </c>
      <c r="F67" s="19">
        <v>0</v>
      </c>
      <c r="G67" s="19">
        <v>0</v>
      </c>
      <c r="H67" s="19">
        <v>1059</v>
      </c>
      <c r="I67" s="19"/>
      <c r="J67" s="19">
        <v>0</v>
      </c>
      <c r="K67" s="19"/>
      <c r="L67" s="19"/>
      <c r="M67" s="19"/>
      <c r="N67" s="19"/>
      <c r="O67" s="19"/>
      <c r="P67" s="19"/>
      <c r="Q67" s="19"/>
      <c r="R67" s="19">
        <f t="shared" si="7"/>
        <v>1059</v>
      </c>
      <c r="S67" s="19">
        <f t="shared" si="9"/>
        <v>998941</v>
      </c>
    </row>
    <row r="68" spans="1:19" x14ac:dyDescent="0.25">
      <c r="A68" s="24" t="s">
        <v>42</v>
      </c>
      <c r="B68" s="24" t="s">
        <v>143</v>
      </c>
      <c r="C68" s="19">
        <v>30000000</v>
      </c>
      <c r="D68" s="19">
        <v>0</v>
      </c>
      <c r="E68" s="19">
        <f t="shared" si="6"/>
        <v>30000000</v>
      </c>
      <c r="F68" s="19">
        <v>2705778.2399999998</v>
      </c>
      <c r="G68" s="19">
        <v>2851882.01</v>
      </c>
      <c r="H68" s="19">
        <v>3952286.5100000002</v>
      </c>
      <c r="I68" s="19">
        <v>3053834.1</v>
      </c>
      <c r="J68" s="19">
        <v>2149560.2999999998</v>
      </c>
      <c r="K68" s="19"/>
      <c r="L68" s="19"/>
      <c r="M68" s="19"/>
      <c r="N68" s="19"/>
      <c r="O68" s="19"/>
      <c r="P68" s="19"/>
      <c r="Q68" s="19"/>
      <c r="R68" s="19">
        <f t="shared" si="7"/>
        <v>14713341.16</v>
      </c>
      <c r="S68" s="19">
        <f t="shared" si="9"/>
        <v>15286658.84</v>
      </c>
    </row>
    <row r="69" spans="1:19" x14ac:dyDescent="0.25">
      <c r="A69" s="24" t="s">
        <v>43</v>
      </c>
      <c r="B69" s="24" t="s">
        <v>144</v>
      </c>
      <c r="C69" s="19"/>
      <c r="D69" s="19">
        <v>10778017.08</v>
      </c>
      <c r="E69" s="19">
        <f t="shared" si="6"/>
        <v>10778017.08</v>
      </c>
      <c r="F69" s="19"/>
      <c r="G69" s="19">
        <v>0</v>
      </c>
      <c r="H69" s="19"/>
      <c r="I69" s="19">
        <v>10778017.08</v>
      </c>
      <c r="J69" s="19">
        <v>0</v>
      </c>
      <c r="K69" s="19"/>
      <c r="L69" s="19"/>
      <c r="M69" s="19"/>
      <c r="N69" s="19"/>
      <c r="O69" s="19"/>
      <c r="P69" s="19"/>
      <c r="Q69" s="19"/>
      <c r="R69" s="19">
        <f t="shared" si="7"/>
        <v>10778017.08</v>
      </c>
      <c r="S69" s="19">
        <f t="shared" si="9"/>
        <v>0</v>
      </c>
    </row>
    <row r="70" spans="1:19" x14ac:dyDescent="0.25">
      <c r="A70" s="24" t="s">
        <v>44</v>
      </c>
      <c r="B70" s="24" t="s">
        <v>145</v>
      </c>
      <c r="C70" s="19">
        <v>2100000</v>
      </c>
      <c r="D70" s="19">
        <v>0</v>
      </c>
      <c r="E70" s="19">
        <f t="shared" si="6"/>
        <v>2100000</v>
      </c>
      <c r="F70" s="19">
        <v>199466.93</v>
      </c>
      <c r="G70" s="19">
        <v>90220.02</v>
      </c>
      <c r="H70" s="19">
        <v>224684.16</v>
      </c>
      <c r="I70" s="19">
        <v>87148.83</v>
      </c>
      <c r="J70" s="19">
        <v>146628.04999999999</v>
      </c>
      <c r="K70" s="19"/>
      <c r="L70" s="19"/>
      <c r="M70" s="19"/>
      <c r="N70" s="19"/>
      <c r="O70" s="19"/>
      <c r="P70" s="19"/>
      <c r="Q70" s="19"/>
      <c r="R70" s="19">
        <f t="shared" si="7"/>
        <v>748147.99</v>
      </c>
      <c r="S70" s="19">
        <f t="shared" si="9"/>
        <v>1351852.01</v>
      </c>
    </row>
    <row r="71" spans="1:19" x14ac:dyDescent="0.25">
      <c r="A71" s="24" t="s">
        <v>95</v>
      </c>
      <c r="B71" s="24" t="s">
        <v>154</v>
      </c>
      <c r="C71" s="19">
        <v>200000</v>
      </c>
      <c r="D71" s="19">
        <v>341639.67</v>
      </c>
      <c r="E71" s="19">
        <f t="shared" si="6"/>
        <v>541639.66999999993</v>
      </c>
      <c r="F71" s="19">
        <v>4500</v>
      </c>
      <c r="G71" s="19">
        <v>0</v>
      </c>
      <c r="H71" s="19">
        <v>42500</v>
      </c>
      <c r="I71" s="19"/>
      <c r="J71" s="19">
        <v>494639.67</v>
      </c>
      <c r="K71" s="19"/>
      <c r="L71" s="19"/>
      <c r="M71" s="19"/>
      <c r="N71" s="19"/>
      <c r="O71" s="19"/>
      <c r="P71" s="19"/>
      <c r="Q71" s="19"/>
      <c r="R71" s="19">
        <f t="shared" si="7"/>
        <v>541639.66999999993</v>
      </c>
      <c r="S71" s="19">
        <f t="shared" si="9"/>
        <v>0</v>
      </c>
    </row>
    <row r="72" spans="1:19" x14ac:dyDescent="0.25">
      <c r="A72" s="24" t="s">
        <v>45</v>
      </c>
      <c r="B72" s="24" t="s">
        <v>146</v>
      </c>
      <c r="C72" s="19">
        <v>100000</v>
      </c>
      <c r="D72" s="19">
        <v>0</v>
      </c>
      <c r="E72" s="19">
        <f t="shared" si="6"/>
        <v>100000</v>
      </c>
      <c r="F72" s="19"/>
      <c r="G72" s="19">
        <v>0</v>
      </c>
      <c r="H72" s="19"/>
      <c r="I72" s="19">
        <v>9500</v>
      </c>
      <c r="J72" s="19">
        <v>0</v>
      </c>
      <c r="K72" s="19"/>
      <c r="L72" s="19"/>
      <c r="M72" s="19"/>
      <c r="N72" s="19"/>
      <c r="O72" s="19"/>
      <c r="P72" s="19"/>
      <c r="Q72" s="19"/>
      <c r="R72" s="19">
        <f t="shared" si="7"/>
        <v>9500</v>
      </c>
      <c r="S72" s="19">
        <f t="shared" si="9"/>
        <v>90500</v>
      </c>
    </row>
    <row r="73" spans="1:19" x14ac:dyDescent="0.25">
      <c r="A73" s="24" t="s">
        <v>46</v>
      </c>
      <c r="B73" s="24" t="s">
        <v>147</v>
      </c>
      <c r="C73" s="19">
        <v>5100000</v>
      </c>
      <c r="D73" s="19">
        <v>0</v>
      </c>
      <c r="E73" s="19">
        <f t="shared" si="6"/>
        <v>5100000</v>
      </c>
      <c r="F73" s="19">
        <v>136880</v>
      </c>
      <c r="G73" s="19">
        <v>403408</v>
      </c>
      <c r="H73" s="19"/>
      <c r="I73" s="19">
        <v>450760</v>
      </c>
      <c r="J73" s="19">
        <v>0</v>
      </c>
      <c r="K73" s="19"/>
      <c r="L73" s="19"/>
      <c r="M73" s="19"/>
      <c r="N73" s="19"/>
      <c r="O73" s="19"/>
      <c r="P73" s="19"/>
      <c r="Q73" s="19"/>
      <c r="R73" s="19">
        <f t="shared" si="7"/>
        <v>991048</v>
      </c>
      <c r="S73" s="19">
        <f t="shared" si="9"/>
        <v>4108952</v>
      </c>
    </row>
    <row r="74" spans="1:19" x14ac:dyDescent="0.25">
      <c r="A74" s="24" t="s">
        <v>47</v>
      </c>
      <c r="B74" s="24" t="s">
        <v>148</v>
      </c>
      <c r="C74" s="19">
        <v>300000</v>
      </c>
      <c r="D74" s="19">
        <v>0</v>
      </c>
      <c r="E74" s="19">
        <f t="shared" si="6"/>
        <v>300000</v>
      </c>
      <c r="F74" s="19"/>
      <c r="G74" s="19">
        <v>14750</v>
      </c>
      <c r="H74" s="19"/>
      <c r="I74" s="19"/>
      <c r="J74" s="19">
        <v>0</v>
      </c>
      <c r="K74" s="19"/>
      <c r="L74" s="19"/>
      <c r="M74" s="19"/>
      <c r="N74" s="19"/>
      <c r="O74" s="19"/>
      <c r="P74" s="19"/>
      <c r="Q74" s="19"/>
      <c r="R74" s="19">
        <f t="shared" si="7"/>
        <v>14750</v>
      </c>
      <c r="S74" s="19">
        <f t="shared" si="9"/>
        <v>285250</v>
      </c>
    </row>
    <row r="75" spans="1:19" x14ac:dyDescent="0.25">
      <c r="A75" s="24" t="s">
        <v>48</v>
      </c>
      <c r="B75" s="24" t="s">
        <v>149</v>
      </c>
      <c r="C75" s="19">
        <v>1200000</v>
      </c>
      <c r="D75" s="19">
        <v>0</v>
      </c>
      <c r="E75" s="19">
        <f t="shared" si="6"/>
        <v>1200000</v>
      </c>
      <c r="F75" s="19"/>
      <c r="G75" s="19">
        <v>153189.94</v>
      </c>
      <c r="H75" s="19">
        <v>18054</v>
      </c>
      <c r="I75" s="19">
        <v>94211.199999999997</v>
      </c>
      <c r="J75" s="19">
        <v>0</v>
      </c>
      <c r="K75" s="19"/>
      <c r="L75" s="19"/>
      <c r="M75" s="19"/>
      <c r="N75" s="19"/>
      <c r="O75" s="19"/>
      <c r="P75" s="19"/>
      <c r="Q75" s="19"/>
      <c r="R75" s="19">
        <f t="shared" si="7"/>
        <v>265455.14</v>
      </c>
      <c r="S75" s="19">
        <f t="shared" si="9"/>
        <v>934544.86</v>
      </c>
    </row>
    <row r="76" spans="1:19" x14ac:dyDescent="0.25">
      <c r="A76" s="24" t="s">
        <v>217</v>
      </c>
      <c r="B76" s="24" t="s">
        <v>234</v>
      </c>
      <c r="C76" s="19">
        <v>25000000</v>
      </c>
      <c r="D76" s="19">
        <v>0</v>
      </c>
      <c r="E76" s="19">
        <f t="shared" si="6"/>
        <v>25000000</v>
      </c>
      <c r="F76" s="19">
        <v>491712</v>
      </c>
      <c r="G76" s="19">
        <v>348120</v>
      </c>
      <c r="H76" s="19">
        <v>127832.52</v>
      </c>
      <c r="I76" s="19">
        <v>408794</v>
      </c>
      <c r="J76" s="19">
        <v>299224</v>
      </c>
      <c r="K76" s="19"/>
      <c r="L76" s="19"/>
      <c r="M76" s="19"/>
      <c r="N76" s="19"/>
      <c r="O76" s="19"/>
      <c r="P76" s="19"/>
      <c r="Q76" s="19"/>
      <c r="R76" s="19">
        <f t="shared" si="7"/>
        <v>1675682.52</v>
      </c>
      <c r="S76" s="19">
        <f t="shared" si="9"/>
        <v>23324317.48</v>
      </c>
    </row>
    <row r="77" spans="1:19" x14ac:dyDescent="0.25">
      <c r="A77" s="24" t="s">
        <v>49</v>
      </c>
      <c r="B77" s="24" t="s">
        <v>150</v>
      </c>
      <c r="C77" s="19">
        <v>20000000</v>
      </c>
      <c r="D77" s="19">
        <v>0</v>
      </c>
      <c r="E77" s="19">
        <f t="shared" si="6"/>
        <v>20000000</v>
      </c>
      <c r="F77" s="19">
        <v>-27079.599999999999</v>
      </c>
      <c r="G77" s="19">
        <v>160000</v>
      </c>
      <c r="H77" s="19">
        <v>-11</v>
      </c>
      <c r="I77" s="19">
        <v>1050080</v>
      </c>
      <c r="J77" s="19">
        <v>1990000</v>
      </c>
      <c r="K77" s="19"/>
      <c r="L77" s="19"/>
      <c r="M77" s="19"/>
      <c r="N77" s="19"/>
      <c r="O77" s="19"/>
      <c r="P77" s="19"/>
      <c r="Q77" s="19"/>
      <c r="R77" s="19">
        <f t="shared" si="7"/>
        <v>3172989.4</v>
      </c>
      <c r="S77" s="19">
        <f t="shared" si="9"/>
        <v>16827010.600000001</v>
      </c>
    </row>
    <row r="78" spans="1:19" x14ac:dyDescent="0.25">
      <c r="A78" s="24" t="s">
        <v>50</v>
      </c>
      <c r="B78" s="24" t="s">
        <v>151</v>
      </c>
      <c r="C78" s="19">
        <v>200000</v>
      </c>
      <c r="D78" s="19">
        <v>0</v>
      </c>
      <c r="E78" s="19">
        <f t="shared" si="6"/>
        <v>200000</v>
      </c>
      <c r="F78" s="19"/>
      <c r="G78" s="19">
        <v>0</v>
      </c>
      <c r="H78" s="19">
        <v>0</v>
      </c>
      <c r="I78" s="19"/>
      <c r="J78" s="19">
        <v>0</v>
      </c>
      <c r="K78" s="19"/>
      <c r="L78" s="19"/>
      <c r="M78" s="19"/>
      <c r="N78" s="19"/>
      <c r="O78" s="19"/>
      <c r="P78" s="19"/>
      <c r="Q78" s="19"/>
      <c r="R78" s="19">
        <f t="shared" si="7"/>
        <v>0</v>
      </c>
      <c r="S78" s="19">
        <f t="shared" si="9"/>
        <v>200000</v>
      </c>
    </row>
    <row r="79" spans="1:19" x14ac:dyDescent="0.25">
      <c r="A79" s="24" t="s">
        <v>286</v>
      </c>
      <c r="B79" s="24" t="s">
        <v>287</v>
      </c>
      <c r="C79" s="19">
        <v>5000000</v>
      </c>
      <c r="D79" s="19">
        <v>0</v>
      </c>
      <c r="E79" s="19">
        <f t="shared" si="6"/>
        <v>5000000</v>
      </c>
      <c r="F79" s="19"/>
      <c r="G79" s="19">
        <v>0</v>
      </c>
      <c r="H79" s="19">
        <v>0</v>
      </c>
      <c r="I79" s="19"/>
      <c r="J79" s="19">
        <v>0</v>
      </c>
      <c r="K79" s="19"/>
      <c r="L79" s="19"/>
      <c r="M79" s="19"/>
      <c r="N79" s="19"/>
      <c r="O79" s="19"/>
      <c r="P79" s="19"/>
      <c r="Q79" s="19"/>
      <c r="R79" s="19">
        <f t="shared" si="7"/>
        <v>0</v>
      </c>
      <c r="S79" s="19">
        <f t="shared" si="9"/>
        <v>5000000</v>
      </c>
    </row>
    <row r="80" spans="1:19" x14ac:dyDescent="0.25">
      <c r="A80" s="24" t="s">
        <v>218</v>
      </c>
      <c r="B80" s="24" t="s">
        <v>235</v>
      </c>
      <c r="C80" s="19">
        <v>25100000</v>
      </c>
      <c r="D80" s="19">
        <v>-10778017.08</v>
      </c>
      <c r="E80" s="19">
        <f t="shared" si="6"/>
        <v>14321982.92</v>
      </c>
      <c r="F80" s="19">
        <v>1641493.85</v>
      </c>
      <c r="G80" s="19">
        <v>1996170.6</v>
      </c>
      <c r="H80" s="19">
        <v>996883.6</v>
      </c>
      <c r="I80" s="19">
        <v>484154</v>
      </c>
      <c r="J80" s="19">
        <v>1842803.83</v>
      </c>
      <c r="K80" s="19"/>
      <c r="L80" s="19"/>
      <c r="M80" s="19"/>
      <c r="N80" s="19"/>
      <c r="O80" s="19"/>
      <c r="P80" s="19"/>
      <c r="Q80" s="19"/>
      <c r="R80" s="19">
        <f t="shared" si="7"/>
        <v>6961505.8799999999</v>
      </c>
      <c r="S80" s="19">
        <f t="shared" si="9"/>
        <v>7360477.04</v>
      </c>
    </row>
    <row r="81" spans="1:19" x14ac:dyDescent="0.25">
      <c r="A81" s="24" t="s">
        <v>262</v>
      </c>
      <c r="B81" s="24" t="s">
        <v>263</v>
      </c>
      <c r="C81" s="19">
        <v>1000000</v>
      </c>
      <c r="D81" s="19">
        <v>0</v>
      </c>
      <c r="E81" s="19">
        <f t="shared" si="6"/>
        <v>1000000</v>
      </c>
      <c r="F81" s="19"/>
      <c r="G81" s="19">
        <v>0</v>
      </c>
      <c r="H81" s="19">
        <v>0</v>
      </c>
      <c r="I81" s="19"/>
      <c r="J81" s="19">
        <v>0</v>
      </c>
      <c r="K81" s="19"/>
      <c r="L81" s="19"/>
      <c r="M81" s="19"/>
      <c r="N81" s="19"/>
      <c r="O81" s="19"/>
      <c r="P81" s="19"/>
      <c r="Q81" s="19"/>
      <c r="R81" s="19">
        <f t="shared" si="7"/>
        <v>0</v>
      </c>
      <c r="S81" s="19">
        <f t="shared" si="9"/>
        <v>1000000</v>
      </c>
    </row>
    <row r="82" spans="1:19" x14ac:dyDescent="0.25">
      <c r="A82" s="24" t="s">
        <v>293</v>
      </c>
      <c r="B82" s="24" t="s">
        <v>294</v>
      </c>
      <c r="C82" s="19">
        <v>200200000</v>
      </c>
      <c r="D82" s="19">
        <v>714541.28</v>
      </c>
      <c r="E82" s="19">
        <f t="shared" si="6"/>
        <v>200914541.28</v>
      </c>
      <c r="F82" s="19"/>
      <c r="G82" s="19">
        <v>140886.9</v>
      </c>
      <c r="H82" s="19">
        <v>777370.1</v>
      </c>
      <c r="I82" s="19"/>
      <c r="J82" s="19">
        <v>182277.1</v>
      </c>
      <c r="K82" s="19"/>
      <c r="L82" s="19"/>
      <c r="M82" s="19"/>
      <c r="N82" s="19"/>
      <c r="O82" s="19"/>
      <c r="P82" s="19"/>
      <c r="Q82" s="19"/>
      <c r="R82" s="19">
        <f t="shared" si="7"/>
        <v>1100534.1000000001</v>
      </c>
      <c r="S82" s="19">
        <f t="shared" si="9"/>
        <v>199814007.18000001</v>
      </c>
    </row>
    <row r="83" spans="1:19" x14ac:dyDescent="0.25">
      <c r="A83" s="24" t="s">
        <v>51</v>
      </c>
      <c r="B83" s="24" t="s">
        <v>152</v>
      </c>
      <c r="C83" s="19">
        <v>25000000</v>
      </c>
      <c r="D83" s="19">
        <v>26213815.690000001</v>
      </c>
      <c r="E83" s="19">
        <f t="shared" si="6"/>
        <v>51213815.689999998</v>
      </c>
      <c r="F83" s="19">
        <v>601288.34</v>
      </c>
      <c r="G83" s="19">
        <v>25456321.210000001</v>
      </c>
      <c r="H83" s="19">
        <v>12110041.390000001</v>
      </c>
      <c r="I83" s="19">
        <v>10792380.52</v>
      </c>
      <c r="J83" s="19">
        <v>2253784.23</v>
      </c>
      <c r="K83" s="19"/>
      <c r="L83" s="19"/>
      <c r="M83" s="19"/>
      <c r="N83" s="19"/>
      <c r="O83" s="19"/>
      <c r="P83" s="19"/>
      <c r="Q83" s="19"/>
      <c r="R83" s="19">
        <f t="shared" si="7"/>
        <v>51213815.68999999</v>
      </c>
      <c r="S83" s="19">
        <f t="shared" si="9"/>
        <v>0</v>
      </c>
    </row>
    <row r="84" spans="1:19" x14ac:dyDescent="0.25">
      <c r="A84" s="26" t="s">
        <v>52</v>
      </c>
      <c r="B84" s="26" t="s">
        <v>153</v>
      </c>
      <c r="C84" s="21">
        <v>10000000</v>
      </c>
      <c r="D84" s="21">
        <v>0</v>
      </c>
      <c r="E84" s="21">
        <f t="shared" si="6"/>
        <v>10000000</v>
      </c>
      <c r="F84" s="21">
        <v>1299959.42</v>
      </c>
      <c r="G84" s="21">
        <v>260000</v>
      </c>
      <c r="H84" s="21">
        <v>943080.03</v>
      </c>
      <c r="I84" s="21">
        <v>2507099.25</v>
      </c>
      <c r="J84" s="21">
        <v>4037349.99</v>
      </c>
      <c r="K84" s="21"/>
      <c r="L84" s="21"/>
      <c r="M84" s="21"/>
      <c r="N84" s="21"/>
      <c r="O84" s="21"/>
      <c r="P84" s="21"/>
      <c r="Q84" s="21"/>
      <c r="R84" s="19">
        <f t="shared" si="7"/>
        <v>9047488.6900000013</v>
      </c>
      <c r="S84" s="19">
        <f t="shared" si="9"/>
        <v>952511.30999999866</v>
      </c>
    </row>
    <row r="85" spans="1:19" x14ac:dyDescent="0.25">
      <c r="A85" s="26" t="s">
        <v>298</v>
      </c>
      <c r="B85" s="26" t="s">
        <v>299</v>
      </c>
      <c r="C85" s="21">
        <v>5000</v>
      </c>
      <c r="D85" s="21">
        <v>-300</v>
      </c>
      <c r="E85" s="21">
        <f t="shared" si="6"/>
        <v>4700</v>
      </c>
      <c r="F85" s="21">
        <v>3000</v>
      </c>
      <c r="G85" s="21">
        <v>0</v>
      </c>
      <c r="H85" s="21"/>
      <c r="I85" s="21"/>
      <c r="J85" s="21">
        <v>0</v>
      </c>
      <c r="K85" s="21"/>
      <c r="L85" s="21"/>
      <c r="M85" s="21"/>
      <c r="N85" s="21"/>
      <c r="O85" s="21"/>
      <c r="P85" s="21"/>
      <c r="Q85" s="21"/>
      <c r="R85" s="19">
        <f t="shared" si="7"/>
        <v>3000</v>
      </c>
      <c r="S85" s="19">
        <f t="shared" si="9"/>
        <v>1700</v>
      </c>
    </row>
    <row r="86" spans="1:19" x14ac:dyDescent="0.25">
      <c r="A86" s="30" t="s">
        <v>324</v>
      </c>
      <c r="B86" s="30" t="s">
        <v>366</v>
      </c>
      <c r="C86" s="20">
        <v>0</v>
      </c>
      <c r="D86" s="20">
        <v>300</v>
      </c>
      <c r="E86" s="20">
        <f t="shared" si="6"/>
        <v>300</v>
      </c>
      <c r="F86" s="20"/>
      <c r="G86" s="20"/>
      <c r="H86" s="20"/>
      <c r="I86" s="20">
        <v>0</v>
      </c>
      <c r="J86" s="20">
        <v>300</v>
      </c>
      <c r="K86" s="20"/>
      <c r="L86" s="20"/>
      <c r="M86" s="20"/>
      <c r="N86" s="20"/>
      <c r="O86" s="20"/>
      <c r="P86" s="20"/>
      <c r="Q86" s="20"/>
      <c r="R86" s="20">
        <f t="shared" si="7"/>
        <v>300</v>
      </c>
      <c r="S86" s="20">
        <f t="shared" si="9"/>
        <v>0</v>
      </c>
    </row>
    <row r="87" spans="1:19" x14ac:dyDescent="0.25">
      <c r="A87" s="6" t="s">
        <v>249</v>
      </c>
      <c r="B87" s="6"/>
      <c r="C87" s="17">
        <f>SUM(C32:C86)</f>
        <v>1244043286</v>
      </c>
      <c r="D87" s="17">
        <f>SUM(D32:D86)</f>
        <v>32489760.220000003</v>
      </c>
      <c r="E87" s="17">
        <f>SUM(E32:E86)</f>
        <v>1276533046.2199998</v>
      </c>
      <c r="F87" s="17">
        <f t="shared" ref="F87:S87" si="10">SUM(F32:F86)</f>
        <v>57224556.359999999</v>
      </c>
      <c r="G87" s="17">
        <f t="shared" si="10"/>
        <v>123690722.24000001</v>
      </c>
      <c r="H87" s="17">
        <f t="shared" si="10"/>
        <v>110812827.64999996</v>
      </c>
      <c r="I87" s="17">
        <f>SUM(I32:I86)</f>
        <v>80013359.189999998</v>
      </c>
      <c r="J87" s="17">
        <f>SUM(J32:J86)</f>
        <v>125348272.66</v>
      </c>
      <c r="K87" s="17">
        <f>SUM(K32:K86)</f>
        <v>0</v>
      </c>
      <c r="L87" s="17">
        <f t="shared" si="10"/>
        <v>0</v>
      </c>
      <c r="M87" s="17">
        <f t="shared" si="10"/>
        <v>0</v>
      </c>
      <c r="N87" s="17">
        <f t="shared" si="10"/>
        <v>0</v>
      </c>
      <c r="O87" s="17">
        <f t="shared" si="10"/>
        <v>0</v>
      </c>
      <c r="P87" s="17">
        <f t="shared" si="10"/>
        <v>0</v>
      </c>
      <c r="Q87" s="17">
        <f t="shared" si="10"/>
        <v>0</v>
      </c>
      <c r="R87" s="17">
        <f t="shared" si="7"/>
        <v>497089738.10000002</v>
      </c>
      <c r="S87" s="17">
        <f t="shared" si="10"/>
        <v>779443308.11999989</v>
      </c>
    </row>
    <row r="88" spans="1:19" x14ac:dyDescent="0.25">
      <c r="A88" s="6"/>
      <c r="B88" s="6"/>
      <c r="C88" s="17"/>
      <c r="D88" s="19"/>
      <c r="E88" s="24"/>
      <c r="F88" s="19"/>
      <c r="G88" s="19"/>
      <c r="H88" s="19"/>
      <c r="I88" s="19"/>
      <c r="J88" s="19"/>
      <c r="K88" s="19"/>
      <c r="L88" s="19"/>
      <c r="M88" s="19"/>
      <c r="N88" s="19"/>
      <c r="O88" s="19"/>
      <c r="P88" s="19"/>
      <c r="Q88" s="19">
        <f>+Q32+Q33+Q34+Q35+Q36+Q37+Q38</f>
        <v>0</v>
      </c>
      <c r="R88" s="19">
        <f>+Q40+Q43+Q44+Q46+Q51+Q52+Q57+Q59+Q61+Q70+Q71+Q73+Q75+Q76+Q77+Q78+Q80+Q82+Q83+Q84</f>
        <v>0</v>
      </c>
      <c r="S88" s="24"/>
    </row>
    <row r="89" spans="1:19" x14ac:dyDescent="0.25">
      <c r="A89" s="24"/>
      <c r="B89" s="24"/>
      <c r="C89" s="19"/>
      <c r="D89" s="19"/>
      <c r="E89" s="24"/>
      <c r="F89" s="19"/>
      <c r="G89" s="19"/>
      <c r="H89" s="19"/>
      <c r="I89" s="19"/>
      <c r="J89" s="19"/>
      <c r="K89" s="19"/>
      <c r="L89" s="19"/>
      <c r="M89" s="19"/>
      <c r="N89" s="19"/>
      <c r="O89" s="19"/>
      <c r="P89" s="19"/>
      <c r="Q89" s="19">
        <f>+Q58+Q63+Q64+Q66+Q67+Q68</f>
        <v>0</v>
      </c>
      <c r="R89" s="19"/>
      <c r="S89" s="24"/>
    </row>
    <row r="90" spans="1:19" x14ac:dyDescent="0.25">
      <c r="A90" s="24" t="s">
        <v>54</v>
      </c>
      <c r="B90" s="24" t="s">
        <v>155</v>
      </c>
      <c r="C90" s="19">
        <v>43003395</v>
      </c>
      <c r="D90" s="19">
        <v>0</v>
      </c>
      <c r="E90" s="19">
        <f t="shared" ref="E90:E136" si="11">+C90+D90</f>
        <v>43003395</v>
      </c>
      <c r="F90" s="19">
        <v>4604287.7</v>
      </c>
      <c r="G90" s="19">
        <v>3711960.29</v>
      </c>
      <c r="H90" s="19">
        <v>4704496.32</v>
      </c>
      <c r="I90" s="19">
        <v>3700389.84</v>
      </c>
      <c r="J90" s="19">
        <v>6066947.4299999997</v>
      </c>
      <c r="K90" s="19"/>
      <c r="L90" s="19"/>
      <c r="M90" s="19"/>
      <c r="N90" s="19"/>
      <c r="O90" s="19"/>
      <c r="P90" s="19"/>
      <c r="Q90" s="19"/>
      <c r="R90" s="19">
        <f t="shared" si="7"/>
        <v>22788081.579999998</v>
      </c>
      <c r="S90" s="19">
        <f t="shared" ref="S90:S91" si="12">+E90-R90</f>
        <v>20215313.420000002</v>
      </c>
    </row>
    <row r="91" spans="1:19" x14ac:dyDescent="0.25">
      <c r="A91" s="24" t="s">
        <v>345</v>
      </c>
      <c r="B91" s="24" t="s">
        <v>346</v>
      </c>
      <c r="C91" s="19">
        <v>0</v>
      </c>
      <c r="D91" s="19">
        <v>0</v>
      </c>
      <c r="E91" s="19">
        <f t="shared" si="11"/>
        <v>0</v>
      </c>
      <c r="F91" s="19">
        <v>0</v>
      </c>
      <c r="G91" s="19">
        <v>0</v>
      </c>
      <c r="H91" s="19">
        <v>0</v>
      </c>
      <c r="I91" s="19"/>
      <c r="J91" s="19">
        <v>0</v>
      </c>
      <c r="K91" s="19"/>
      <c r="L91" s="19"/>
      <c r="M91" s="19"/>
      <c r="N91" s="19"/>
      <c r="O91" s="19"/>
      <c r="P91" s="19"/>
      <c r="Q91" s="19"/>
      <c r="R91" s="19">
        <f t="shared" si="7"/>
        <v>0</v>
      </c>
      <c r="S91" s="19">
        <f t="shared" si="12"/>
        <v>0</v>
      </c>
    </row>
    <row r="92" spans="1:19" x14ac:dyDescent="0.25">
      <c r="A92" s="24" t="s">
        <v>55</v>
      </c>
      <c r="B92" s="24" t="s">
        <v>156</v>
      </c>
      <c r="C92" s="19">
        <v>1000000</v>
      </c>
      <c r="D92" s="19">
        <v>0</v>
      </c>
      <c r="E92" s="19">
        <f t="shared" si="11"/>
        <v>1000000</v>
      </c>
      <c r="F92" s="19">
        <v>84491.48</v>
      </c>
      <c r="G92" s="19">
        <v>57266</v>
      </c>
      <c r="H92" s="19">
        <v>59677.64</v>
      </c>
      <c r="I92" s="19">
        <v>48616</v>
      </c>
      <c r="J92" s="19">
        <v>44304.13</v>
      </c>
      <c r="K92" s="19"/>
      <c r="L92" s="19"/>
      <c r="M92" s="19"/>
      <c r="N92" s="19"/>
      <c r="O92" s="19"/>
      <c r="P92" s="19"/>
      <c r="Q92" s="19"/>
      <c r="R92" s="19">
        <f t="shared" si="7"/>
        <v>294355.25</v>
      </c>
      <c r="S92" s="19">
        <f t="shared" ref="S92:S136" si="13">+E92-R92</f>
        <v>705644.75</v>
      </c>
    </row>
    <row r="93" spans="1:19" x14ac:dyDescent="0.25">
      <c r="A93" s="24" t="s">
        <v>56</v>
      </c>
      <c r="B93" s="24" t="s">
        <v>157</v>
      </c>
      <c r="C93" s="19">
        <v>50000</v>
      </c>
      <c r="D93" s="19">
        <v>0</v>
      </c>
      <c r="E93" s="19">
        <f t="shared" si="11"/>
        <v>50000</v>
      </c>
      <c r="F93" s="19">
        <v>0</v>
      </c>
      <c r="G93" s="19">
        <v>0</v>
      </c>
      <c r="H93" s="19">
        <v>1174.0999999999999</v>
      </c>
      <c r="I93" s="19">
        <v>1828.26</v>
      </c>
      <c r="J93" s="19">
        <v>0</v>
      </c>
      <c r="K93" s="19"/>
      <c r="L93" s="19"/>
      <c r="M93" s="19"/>
      <c r="N93" s="19"/>
      <c r="O93" s="19"/>
      <c r="P93" s="19"/>
      <c r="Q93" s="19"/>
      <c r="R93" s="19">
        <f t="shared" si="7"/>
        <v>3002.3599999999997</v>
      </c>
      <c r="S93" s="19">
        <f t="shared" si="13"/>
        <v>46997.64</v>
      </c>
    </row>
    <row r="94" spans="1:19" x14ac:dyDescent="0.25">
      <c r="A94" s="24" t="s">
        <v>264</v>
      </c>
      <c r="B94" s="24" t="s">
        <v>265</v>
      </c>
      <c r="C94" s="19">
        <v>7000</v>
      </c>
      <c r="D94" s="19">
        <v>0</v>
      </c>
      <c r="E94" s="19">
        <f t="shared" si="11"/>
        <v>7000</v>
      </c>
      <c r="F94" s="19">
        <v>0</v>
      </c>
      <c r="G94" s="19">
        <v>0</v>
      </c>
      <c r="H94" s="19">
        <v>0</v>
      </c>
      <c r="I94" s="19"/>
      <c r="J94" s="19">
        <v>0</v>
      </c>
      <c r="K94" s="19"/>
      <c r="L94" s="19"/>
      <c r="M94" s="19"/>
      <c r="N94" s="19"/>
      <c r="O94" s="19"/>
      <c r="P94" s="19"/>
      <c r="Q94" s="19"/>
      <c r="R94" s="19">
        <f t="shared" si="7"/>
        <v>0</v>
      </c>
      <c r="S94" s="19">
        <f t="shared" si="13"/>
        <v>7000</v>
      </c>
    </row>
    <row r="95" spans="1:19" x14ac:dyDescent="0.25">
      <c r="A95" s="24" t="s">
        <v>57</v>
      </c>
      <c r="B95" s="24" t="s">
        <v>158</v>
      </c>
      <c r="C95" s="19">
        <v>2000000</v>
      </c>
      <c r="D95" s="19">
        <v>0</v>
      </c>
      <c r="E95" s="19">
        <f t="shared" si="11"/>
        <v>2000000</v>
      </c>
      <c r="F95" s="19">
        <v>1353660.6</v>
      </c>
      <c r="G95" s="19">
        <v>0</v>
      </c>
      <c r="H95" s="19">
        <v>58771.21</v>
      </c>
      <c r="I95" s="19">
        <v>964.55</v>
      </c>
      <c r="J95" s="19">
        <v>0</v>
      </c>
      <c r="K95" s="19"/>
      <c r="L95" s="19"/>
      <c r="M95" s="19"/>
      <c r="N95" s="19"/>
      <c r="O95" s="19"/>
      <c r="P95" s="19"/>
      <c r="Q95" s="19"/>
      <c r="R95" s="19">
        <f t="shared" si="7"/>
        <v>1413396.36</v>
      </c>
      <c r="S95" s="19">
        <f t="shared" si="13"/>
        <v>586603.6399999999</v>
      </c>
    </row>
    <row r="96" spans="1:19" x14ac:dyDescent="0.25">
      <c r="A96" s="24" t="s">
        <v>58</v>
      </c>
      <c r="B96" s="24" t="s">
        <v>159</v>
      </c>
      <c r="C96" s="19">
        <v>4000000</v>
      </c>
      <c r="D96" s="19">
        <v>0</v>
      </c>
      <c r="E96" s="19">
        <f t="shared" si="11"/>
        <v>4000000</v>
      </c>
      <c r="F96" s="19">
        <v>36344</v>
      </c>
      <c r="G96" s="19">
        <v>539415.76</v>
      </c>
      <c r="H96" s="19">
        <v>316181</v>
      </c>
      <c r="I96" s="19"/>
      <c r="J96" s="19">
        <v>209209.27</v>
      </c>
      <c r="K96" s="19"/>
      <c r="L96" s="19"/>
      <c r="M96" s="19"/>
      <c r="N96" s="19"/>
      <c r="O96" s="19"/>
      <c r="P96" s="19"/>
      <c r="Q96" s="19"/>
      <c r="R96" s="19">
        <f t="shared" si="7"/>
        <v>1101150.03</v>
      </c>
      <c r="S96" s="19">
        <f t="shared" si="13"/>
        <v>2898849.9699999997</v>
      </c>
    </row>
    <row r="97" spans="1:19" x14ac:dyDescent="0.25">
      <c r="A97" s="24" t="s">
        <v>59</v>
      </c>
      <c r="B97" s="24" t="s">
        <v>160</v>
      </c>
      <c r="C97" s="19">
        <v>2000000</v>
      </c>
      <c r="D97" s="19">
        <v>0</v>
      </c>
      <c r="E97" s="19">
        <f t="shared" si="11"/>
        <v>2000000</v>
      </c>
      <c r="F97" s="19">
        <v>0</v>
      </c>
      <c r="G97" s="19">
        <v>18974.400000000001</v>
      </c>
      <c r="H97" s="19">
        <v>0</v>
      </c>
      <c r="I97" s="19"/>
      <c r="J97" s="19">
        <v>11974.99</v>
      </c>
      <c r="K97" s="19"/>
      <c r="L97" s="19"/>
      <c r="M97" s="19"/>
      <c r="N97" s="19"/>
      <c r="O97" s="19"/>
      <c r="P97" s="19"/>
      <c r="Q97" s="19"/>
      <c r="R97" s="19">
        <f t="shared" ref="R97:R136" si="14">SUM(F97:Q97)</f>
        <v>30949.39</v>
      </c>
      <c r="S97" s="19">
        <f t="shared" si="13"/>
        <v>1969050.61</v>
      </c>
    </row>
    <row r="98" spans="1:19" x14ac:dyDescent="0.25">
      <c r="A98" s="24" t="s">
        <v>60</v>
      </c>
      <c r="B98" s="24" t="s">
        <v>161</v>
      </c>
      <c r="C98" s="19">
        <v>4000000</v>
      </c>
      <c r="D98" s="19">
        <v>0</v>
      </c>
      <c r="E98" s="19">
        <f t="shared" si="11"/>
        <v>4000000</v>
      </c>
      <c r="F98" s="19">
        <v>413047.2</v>
      </c>
      <c r="G98" s="19">
        <v>333173</v>
      </c>
      <c r="H98" s="19">
        <v>205290.5</v>
      </c>
      <c r="I98" s="19"/>
      <c r="J98" s="19">
        <v>141016.10999999999</v>
      </c>
      <c r="K98" s="19"/>
      <c r="L98" s="19"/>
      <c r="M98" s="19"/>
      <c r="N98" s="19"/>
      <c r="O98" s="19"/>
      <c r="P98" s="19"/>
      <c r="Q98" s="19"/>
      <c r="R98" s="19">
        <f t="shared" si="14"/>
        <v>1092526.81</v>
      </c>
      <c r="S98" s="19">
        <f t="shared" si="13"/>
        <v>2907473.19</v>
      </c>
    </row>
    <row r="99" spans="1:19" x14ac:dyDescent="0.25">
      <c r="A99" s="24" t="s">
        <v>61</v>
      </c>
      <c r="B99" s="24" t="s">
        <v>162</v>
      </c>
      <c r="C99" s="19">
        <v>4850000</v>
      </c>
      <c r="D99" s="19">
        <v>0</v>
      </c>
      <c r="E99" s="19">
        <f t="shared" si="11"/>
        <v>4850000</v>
      </c>
      <c r="F99" s="19">
        <v>684744.75</v>
      </c>
      <c r="G99" s="19">
        <v>410193.88</v>
      </c>
      <c r="H99" s="19">
        <v>473387.49</v>
      </c>
      <c r="I99" s="19">
        <v>182793.81</v>
      </c>
      <c r="J99" s="19">
        <v>232684.27</v>
      </c>
      <c r="K99" s="19"/>
      <c r="L99" s="19"/>
      <c r="M99" s="19"/>
      <c r="N99" s="19"/>
      <c r="O99" s="19"/>
      <c r="P99" s="19"/>
      <c r="Q99" s="19"/>
      <c r="R99" s="19">
        <f t="shared" si="14"/>
        <v>1983804.2</v>
      </c>
      <c r="S99" s="19">
        <f t="shared" si="13"/>
        <v>2866195.8</v>
      </c>
    </row>
    <row r="100" spans="1:19" x14ac:dyDescent="0.25">
      <c r="A100" s="24" t="s">
        <v>62</v>
      </c>
      <c r="B100" s="24" t="s">
        <v>163</v>
      </c>
      <c r="C100" s="19">
        <v>300000</v>
      </c>
      <c r="D100" s="19">
        <v>0</v>
      </c>
      <c r="E100" s="19">
        <f t="shared" si="11"/>
        <v>300000</v>
      </c>
      <c r="F100" s="19">
        <v>74.849999999999994</v>
      </c>
      <c r="G100" s="19">
        <v>9038.7999999999993</v>
      </c>
      <c r="H100" s="19">
        <v>28921.8</v>
      </c>
      <c r="I100" s="19">
        <v>7740.8</v>
      </c>
      <c r="J100" s="19">
        <v>0</v>
      </c>
      <c r="K100" s="19"/>
      <c r="L100" s="19"/>
      <c r="M100" s="19"/>
      <c r="N100" s="19"/>
      <c r="O100" s="19"/>
      <c r="P100" s="19"/>
      <c r="Q100" s="19"/>
      <c r="R100" s="19">
        <f t="shared" si="14"/>
        <v>45776.25</v>
      </c>
      <c r="S100" s="19">
        <f t="shared" si="13"/>
        <v>254223.75</v>
      </c>
    </row>
    <row r="101" spans="1:19" x14ac:dyDescent="0.25">
      <c r="A101" s="24" t="s">
        <v>63</v>
      </c>
      <c r="B101" s="24" t="s">
        <v>164</v>
      </c>
      <c r="C101" s="19">
        <v>3600000</v>
      </c>
      <c r="D101" s="19">
        <v>0</v>
      </c>
      <c r="E101" s="19">
        <f t="shared" si="11"/>
        <v>3600000</v>
      </c>
      <c r="F101" s="19">
        <v>89075</v>
      </c>
      <c r="G101" s="19">
        <v>0</v>
      </c>
      <c r="H101" s="19">
        <v>9200</v>
      </c>
      <c r="I101" s="19"/>
      <c r="J101" s="19">
        <v>493046</v>
      </c>
      <c r="K101" s="19"/>
      <c r="L101" s="19"/>
      <c r="M101" s="19"/>
      <c r="N101" s="19"/>
      <c r="O101" s="19"/>
      <c r="P101" s="19"/>
      <c r="Q101" s="19"/>
      <c r="R101" s="19">
        <f t="shared" si="14"/>
        <v>591321</v>
      </c>
      <c r="S101" s="19">
        <f t="shared" si="13"/>
        <v>3008679</v>
      </c>
    </row>
    <row r="102" spans="1:19" x14ac:dyDescent="0.25">
      <c r="A102" s="24" t="s">
        <v>64</v>
      </c>
      <c r="B102" s="24" t="s">
        <v>236</v>
      </c>
      <c r="C102" s="19">
        <v>150000</v>
      </c>
      <c r="D102" s="19">
        <v>0</v>
      </c>
      <c r="E102" s="19">
        <f t="shared" si="11"/>
        <v>150000</v>
      </c>
      <c r="F102" s="19"/>
      <c r="G102" s="19">
        <v>1927.43</v>
      </c>
      <c r="H102" s="19">
        <v>10915.7</v>
      </c>
      <c r="I102" s="19"/>
      <c r="J102" s="19">
        <v>1251.58</v>
      </c>
      <c r="K102" s="19"/>
      <c r="L102" s="19"/>
      <c r="M102" s="19"/>
      <c r="N102" s="19"/>
      <c r="O102" s="19"/>
      <c r="P102" s="19"/>
      <c r="Q102" s="19"/>
      <c r="R102" s="19">
        <f t="shared" si="14"/>
        <v>14094.710000000001</v>
      </c>
      <c r="S102" s="19">
        <f t="shared" si="13"/>
        <v>135905.29</v>
      </c>
    </row>
    <row r="103" spans="1:19" x14ac:dyDescent="0.25">
      <c r="A103" s="24" t="s">
        <v>65</v>
      </c>
      <c r="B103" s="24" t="s">
        <v>165</v>
      </c>
      <c r="C103" s="19">
        <v>200000</v>
      </c>
      <c r="D103" s="19">
        <v>241320</v>
      </c>
      <c r="E103" s="19">
        <f t="shared" si="11"/>
        <v>441320</v>
      </c>
      <c r="F103" s="19"/>
      <c r="G103" s="19">
        <v>0</v>
      </c>
      <c r="H103" s="19">
        <v>0</v>
      </c>
      <c r="I103" s="19">
        <v>441320</v>
      </c>
      <c r="J103" s="19">
        <v>0</v>
      </c>
      <c r="K103" s="19"/>
      <c r="L103" s="19"/>
      <c r="M103" s="19"/>
      <c r="N103" s="19"/>
      <c r="O103" s="19"/>
      <c r="P103" s="19"/>
      <c r="Q103" s="19"/>
      <c r="R103" s="19">
        <f t="shared" si="14"/>
        <v>441320</v>
      </c>
      <c r="S103" s="19">
        <f t="shared" si="13"/>
        <v>0</v>
      </c>
    </row>
    <row r="104" spans="1:19" x14ac:dyDescent="0.25">
      <c r="A104" s="24" t="s">
        <v>66</v>
      </c>
      <c r="B104" s="24" t="s">
        <v>166</v>
      </c>
      <c r="C104" s="19">
        <v>4000000</v>
      </c>
      <c r="D104" s="19">
        <v>0</v>
      </c>
      <c r="E104" s="19">
        <f t="shared" si="11"/>
        <v>4000000</v>
      </c>
      <c r="F104" s="19">
        <v>480760.73</v>
      </c>
      <c r="G104" s="19">
        <v>72405.98000000001</v>
      </c>
      <c r="H104" s="19">
        <v>365498.3</v>
      </c>
      <c r="I104" s="19">
        <v>182775.21000000002</v>
      </c>
      <c r="J104" s="19">
        <v>61375.199999999997</v>
      </c>
      <c r="K104" s="19"/>
      <c r="L104" s="19"/>
      <c r="M104" s="19"/>
      <c r="N104" s="19"/>
      <c r="O104" s="19"/>
      <c r="P104" s="19"/>
      <c r="Q104" s="19"/>
      <c r="R104" s="19">
        <f t="shared" si="14"/>
        <v>1162815.42</v>
      </c>
      <c r="S104" s="19">
        <f t="shared" si="13"/>
        <v>2837184.58</v>
      </c>
    </row>
    <row r="105" spans="1:19" x14ac:dyDescent="0.25">
      <c r="A105" s="24" t="s">
        <v>67</v>
      </c>
      <c r="B105" s="24" t="s">
        <v>167</v>
      </c>
      <c r="C105" s="19">
        <v>200000</v>
      </c>
      <c r="D105" s="19">
        <v>0</v>
      </c>
      <c r="E105" s="19">
        <f t="shared" si="11"/>
        <v>200000</v>
      </c>
      <c r="F105" s="19">
        <v>12375.84</v>
      </c>
      <c r="G105" s="19">
        <v>28007.5</v>
      </c>
      <c r="H105" s="19">
        <v>5102.84</v>
      </c>
      <c r="I105" s="19"/>
      <c r="J105" s="19">
        <v>2032.17</v>
      </c>
      <c r="K105" s="19"/>
      <c r="L105" s="19"/>
      <c r="M105" s="19"/>
      <c r="N105" s="19"/>
      <c r="O105" s="19"/>
      <c r="P105" s="19"/>
      <c r="Q105" s="19"/>
      <c r="R105" s="19">
        <f t="shared" si="14"/>
        <v>47518.349999999991</v>
      </c>
      <c r="S105" s="19">
        <f t="shared" si="13"/>
        <v>152481.65000000002</v>
      </c>
    </row>
    <row r="106" spans="1:19" x14ac:dyDescent="0.25">
      <c r="A106" s="24" t="s">
        <v>68</v>
      </c>
      <c r="B106" s="24" t="s">
        <v>168</v>
      </c>
      <c r="C106" s="19">
        <v>10000000</v>
      </c>
      <c r="D106" s="19">
        <v>-723370.24</v>
      </c>
      <c r="E106" s="19">
        <f t="shared" si="11"/>
        <v>9276629.7599999998</v>
      </c>
      <c r="F106" s="19">
        <v>321676.23</v>
      </c>
      <c r="G106" s="19">
        <v>395149.95999999996</v>
      </c>
      <c r="H106" s="19">
        <v>266975.25</v>
      </c>
      <c r="I106" s="19">
        <v>781080.91</v>
      </c>
      <c r="J106" s="19">
        <v>299434.63</v>
      </c>
      <c r="K106" s="19"/>
      <c r="L106" s="19"/>
      <c r="M106" s="19"/>
      <c r="N106" s="19"/>
      <c r="O106" s="19"/>
      <c r="P106" s="19"/>
      <c r="Q106" s="19"/>
      <c r="R106" s="19">
        <f t="shared" si="14"/>
        <v>2064316.98</v>
      </c>
      <c r="S106" s="19">
        <f t="shared" si="13"/>
        <v>7212312.7799999993</v>
      </c>
    </row>
    <row r="107" spans="1:19" x14ac:dyDescent="0.25">
      <c r="A107" s="24" t="s">
        <v>219</v>
      </c>
      <c r="B107" s="24" t="s">
        <v>169</v>
      </c>
      <c r="C107" s="19">
        <v>30000</v>
      </c>
      <c r="D107" s="19">
        <v>30789.769999999997</v>
      </c>
      <c r="E107" s="19">
        <f t="shared" si="11"/>
        <v>60789.77</v>
      </c>
      <c r="F107" s="19">
        <v>3884.11</v>
      </c>
      <c r="G107" s="19">
        <v>53280.51</v>
      </c>
      <c r="H107" s="19">
        <v>1144.5999999999999</v>
      </c>
      <c r="I107" s="19"/>
      <c r="J107" s="19">
        <v>2480.5500000000002</v>
      </c>
      <c r="K107" s="19"/>
      <c r="L107" s="19"/>
      <c r="M107" s="19"/>
      <c r="N107" s="19"/>
      <c r="O107" s="19"/>
      <c r="P107" s="19"/>
      <c r="Q107" s="19"/>
      <c r="R107" s="19">
        <f t="shared" si="14"/>
        <v>60789.770000000004</v>
      </c>
      <c r="S107" s="19">
        <f t="shared" si="13"/>
        <v>0</v>
      </c>
    </row>
    <row r="108" spans="1:19" x14ac:dyDescent="0.25">
      <c r="A108" s="24" t="s">
        <v>341</v>
      </c>
      <c r="B108" s="24" t="s">
        <v>342</v>
      </c>
      <c r="C108" s="19">
        <v>0</v>
      </c>
      <c r="D108" s="19">
        <v>0</v>
      </c>
      <c r="E108" s="19">
        <f t="shared" si="11"/>
        <v>0</v>
      </c>
      <c r="F108" s="19"/>
      <c r="G108" s="19"/>
      <c r="H108" s="19"/>
      <c r="I108" s="19"/>
      <c r="J108" s="19">
        <v>0</v>
      </c>
      <c r="K108" s="19"/>
      <c r="L108" s="19"/>
      <c r="M108" s="19"/>
      <c r="N108" s="19"/>
      <c r="O108" s="19"/>
      <c r="P108" s="19"/>
      <c r="Q108" s="19"/>
      <c r="R108" s="19">
        <f t="shared" si="14"/>
        <v>0</v>
      </c>
      <c r="S108" s="19">
        <f t="shared" si="13"/>
        <v>0</v>
      </c>
    </row>
    <row r="109" spans="1:19" x14ac:dyDescent="0.25">
      <c r="A109" s="24" t="s">
        <v>290</v>
      </c>
      <c r="B109" s="24" t="s">
        <v>291</v>
      </c>
      <c r="C109" s="19">
        <v>5000</v>
      </c>
      <c r="D109" s="19">
        <v>0</v>
      </c>
      <c r="E109" s="19">
        <f t="shared" si="11"/>
        <v>5000</v>
      </c>
      <c r="F109" s="19"/>
      <c r="G109" s="19"/>
      <c r="H109" s="19"/>
      <c r="I109" s="19"/>
      <c r="J109" s="19">
        <v>0</v>
      </c>
      <c r="K109" s="19"/>
      <c r="L109" s="19"/>
      <c r="M109" s="19"/>
      <c r="N109" s="19"/>
      <c r="O109" s="19"/>
      <c r="P109" s="19"/>
      <c r="Q109" s="19"/>
      <c r="R109" s="19">
        <f t="shared" si="14"/>
        <v>0</v>
      </c>
      <c r="S109" s="19">
        <f t="shared" si="13"/>
        <v>5000</v>
      </c>
    </row>
    <row r="110" spans="1:19" x14ac:dyDescent="0.25">
      <c r="A110" s="24" t="s">
        <v>325</v>
      </c>
      <c r="B110" s="24" t="s">
        <v>349</v>
      </c>
      <c r="C110" s="19">
        <v>0</v>
      </c>
      <c r="D110" s="19">
        <v>0</v>
      </c>
      <c r="E110" s="19">
        <f t="shared" si="11"/>
        <v>0</v>
      </c>
      <c r="F110" s="19"/>
      <c r="G110" s="19"/>
      <c r="H110" s="19"/>
      <c r="I110" s="19"/>
      <c r="J110" s="19">
        <v>0</v>
      </c>
      <c r="K110" s="19"/>
      <c r="L110" s="19"/>
      <c r="M110" s="19"/>
      <c r="N110" s="19"/>
      <c r="O110" s="19"/>
      <c r="P110" s="19"/>
      <c r="Q110" s="19"/>
      <c r="R110" s="19">
        <f t="shared" si="14"/>
        <v>0</v>
      </c>
      <c r="S110" s="19">
        <f t="shared" si="13"/>
        <v>0</v>
      </c>
    </row>
    <row r="111" spans="1:19" x14ac:dyDescent="0.25">
      <c r="A111" s="24" t="s">
        <v>220</v>
      </c>
      <c r="B111" s="24" t="s">
        <v>170</v>
      </c>
      <c r="C111" s="19">
        <v>1000000</v>
      </c>
      <c r="D111" s="19">
        <v>0</v>
      </c>
      <c r="E111" s="19">
        <f t="shared" si="11"/>
        <v>1000000</v>
      </c>
      <c r="F111" s="19">
        <v>165</v>
      </c>
      <c r="G111" s="19"/>
      <c r="H111" s="19">
        <v>29453.040000000001</v>
      </c>
      <c r="I111" s="19"/>
      <c r="J111" s="19">
        <v>0</v>
      </c>
      <c r="K111" s="19"/>
      <c r="L111" s="19"/>
      <c r="M111" s="19"/>
      <c r="N111" s="19"/>
      <c r="O111" s="19"/>
      <c r="P111" s="19"/>
      <c r="Q111" s="19"/>
      <c r="R111" s="19">
        <f t="shared" si="14"/>
        <v>29618.04</v>
      </c>
      <c r="S111" s="19">
        <f t="shared" si="13"/>
        <v>970381.96</v>
      </c>
    </row>
    <row r="112" spans="1:19" x14ac:dyDescent="0.25">
      <c r="A112" s="24" t="s">
        <v>305</v>
      </c>
      <c r="B112" s="24" t="s">
        <v>307</v>
      </c>
      <c r="C112" s="19">
        <v>30000</v>
      </c>
      <c r="D112" s="19">
        <v>0</v>
      </c>
      <c r="E112" s="19">
        <f t="shared" si="11"/>
        <v>30000</v>
      </c>
      <c r="F112" s="19"/>
      <c r="G112" s="19"/>
      <c r="H112" s="19">
        <v>0</v>
      </c>
      <c r="I112" s="19"/>
      <c r="J112" s="19">
        <v>0</v>
      </c>
      <c r="K112" s="19"/>
      <c r="L112" s="19"/>
      <c r="M112" s="19"/>
      <c r="N112" s="19"/>
      <c r="O112" s="19"/>
      <c r="P112" s="19"/>
      <c r="Q112" s="19"/>
      <c r="R112" s="19">
        <f t="shared" si="14"/>
        <v>0</v>
      </c>
      <c r="S112" s="19">
        <f t="shared" si="13"/>
        <v>30000</v>
      </c>
    </row>
    <row r="113" spans="1:19" x14ac:dyDescent="0.25">
      <c r="A113" s="24" t="s">
        <v>306</v>
      </c>
      <c r="B113" s="24" t="s">
        <v>308</v>
      </c>
      <c r="C113" s="19">
        <v>75000</v>
      </c>
      <c r="D113" s="19">
        <v>25567.61</v>
      </c>
      <c r="E113" s="19">
        <f t="shared" si="11"/>
        <v>100567.61</v>
      </c>
      <c r="F113" s="19"/>
      <c r="G113" s="19"/>
      <c r="H113" s="19">
        <v>10528.86</v>
      </c>
      <c r="I113" s="19">
        <v>64377.4</v>
      </c>
      <c r="J113" s="19">
        <v>25661.35</v>
      </c>
      <c r="K113" s="19"/>
      <c r="L113" s="19"/>
      <c r="M113" s="19"/>
      <c r="N113" s="19"/>
      <c r="O113" s="19"/>
      <c r="P113" s="19"/>
      <c r="Q113" s="19"/>
      <c r="R113" s="19">
        <f t="shared" si="14"/>
        <v>100567.61000000002</v>
      </c>
      <c r="S113" s="19">
        <f t="shared" si="13"/>
        <v>0</v>
      </c>
    </row>
    <row r="114" spans="1:19" x14ac:dyDescent="0.25">
      <c r="A114" s="24" t="s">
        <v>221</v>
      </c>
      <c r="B114" s="24" t="s">
        <v>171</v>
      </c>
      <c r="C114" s="19">
        <v>75000</v>
      </c>
      <c r="D114" s="19">
        <v>0</v>
      </c>
      <c r="E114" s="19">
        <f t="shared" si="11"/>
        <v>75000</v>
      </c>
      <c r="F114" s="19">
        <v>23400</v>
      </c>
      <c r="G114" s="19"/>
      <c r="H114" s="19">
        <v>0</v>
      </c>
      <c r="I114" s="19"/>
      <c r="J114" s="19">
        <v>0</v>
      </c>
      <c r="K114" s="19"/>
      <c r="L114" s="19"/>
      <c r="M114" s="19"/>
      <c r="N114" s="19"/>
      <c r="O114" s="19"/>
      <c r="P114" s="19"/>
      <c r="Q114" s="19"/>
      <c r="R114" s="19">
        <f t="shared" si="14"/>
        <v>23400</v>
      </c>
      <c r="S114" s="19">
        <f t="shared" si="13"/>
        <v>51600</v>
      </c>
    </row>
    <row r="115" spans="1:19" x14ac:dyDescent="0.25">
      <c r="A115" s="24" t="s">
        <v>69</v>
      </c>
      <c r="B115" s="24" t="s">
        <v>172</v>
      </c>
      <c r="C115" s="19">
        <v>375000</v>
      </c>
      <c r="D115" s="19">
        <v>0</v>
      </c>
      <c r="E115" s="19">
        <f t="shared" si="11"/>
        <v>375000</v>
      </c>
      <c r="F115" s="19">
        <v>10349.969999999999</v>
      </c>
      <c r="G115" s="19">
        <v>17688.2</v>
      </c>
      <c r="H115" s="19">
        <v>0</v>
      </c>
      <c r="I115" s="19"/>
      <c r="J115" s="19">
        <v>0</v>
      </c>
      <c r="K115" s="19"/>
      <c r="L115" s="19"/>
      <c r="M115" s="19"/>
      <c r="N115" s="19"/>
      <c r="O115" s="19"/>
      <c r="P115" s="19"/>
      <c r="Q115" s="19"/>
      <c r="R115" s="19">
        <f t="shared" si="14"/>
        <v>28038.17</v>
      </c>
      <c r="S115" s="19">
        <f t="shared" si="13"/>
        <v>346961.83</v>
      </c>
    </row>
    <row r="116" spans="1:19" x14ac:dyDescent="0.25">
      <c r="A116" s="24" t="s">
        <v>266</v>
      </c>
      <c r="B116" s="24" t="s">
        <v>267</v>
      </c>
      <c r="C116" s="19">
        <v>70000</v>
      </c>
      <c r="D116" s="19">
        <v>0</v>
      </c>
      <c r="E116" s="19">
        <f t="shared" si="11"/>
        <v>70000</v>
      </c>
      <c r="F116" s="19">
        <v>6750</v>
      </c>
      <c r="G116" s="19">
        <v>0</v>
      </c>
      <c r="H116" s="19">
        <v>237.64</v>
      </c>
      <c r="I116" s="19">
        <v>3989.77</v>
      </c>
      <c r="J116" s="19">
        <v>0</v>
      </c>
      <c r="K116" s="19"/>
      <c r="L116" s="19"/>
      <c r="M116" s="19"/>
      <c r="N116" s="19"/>
      <c r="O116" s="19"/>
      <c r="P116" s="19"/>
      <c r="Q116" s="19"/>
      <c r="R116" s="19">
        <f t="shared" si="14"/>
        <v>10977.41</v>
      </c>
      <c r="S116" s="19">
        <f t="shared" si="13"/>
        <v>59022.59</v>
      </c>
    </row>
    <row r="117" spans="1:19" x14ac:dyDescent="0.25">
      <c r="A117" s="24" t="s">
        <v>70</v>
      </c>
      <c r="B117" s="24" t="s">
        <v>173</v>
      </c>
      <c r="C117" s="19">
        <v>1100000</v>
      </c>
      <c r="D117" s="19">
        <v>0</v>
      </c>
      <c r="E117" s="19">
        <f t="shared" si="11"/>
        <v>1100000</v>
      </c>
      <c r="F117" s="19">
        <v>134684.74</v>
      </c>
      <c r="G117" s="19">
        <v>126266.07999999999</v>
      </c>
      <c r="H117" s="19">
        <v>98247.79</v>
      </c>
      <c r="I117" s="19">
        <v>165266.08000000002</v>
      </c>
      <c r="J117" s="19">
        <v>193182.79</v>
      </c>
      <c r="K117" s="19"/>
      <c r="L117" s="19"/>
      <c r="M117" s="19"/>
      <c r="N117" s="19"/>
      <c r="O117" s="19"/>
      <c r="P117" s="19"/>
      <c r="Q117" s="19"/>
      <c r="R117" s="19">
        <f t="shared" si="14"/>
        <v>717647.48</v>
      </c>
      <c r="S117" s="19">
        <f t="shared" si="13"/>
        <v>382352.52</v>
      </c>
    </row>
    <row r="118" spans="1:19" x14ac:dyDescent="0.25">
      <c r="A118" s="24" t="s">
        <v>71</v>
      </c>
      <c r="B118" s="24" t="s">
        <v>174</v>
      </c>
      <c r="C118" s="19">
        <v>50000</v>
      </c>
      <c r="D118" s="19">
        <v>52943.199999999997</v>
      </c>
      <c r="E118" s="19">
        <f t="shared" si="11"/>
        <v>102943.2</v>
      </c>
      <c r="F118" s="19"/>
      <c r="G118" s="19">
        <v>102943.2</v>
      </c>
      <c r="H118" s="19">
        <v>0</v>
      </c>
      <c r="I118" s="19"/>
      <c r="J118" s="19">
        <v>0</v>
      </c>
      <c r="K118" s="19"/>
      <c r="L118" s="19"/>
      <c r="M118" s="19"/>
      <c r="N118" s="19"/>
      <c r="O118" s="19"/>
      <c r="P118" s="19"/>
      <c r="Q118" s="19"/>
      <c r="R118" s="19">
        <f t="shared" si="14"/>
        <v>102943.2</v>
      </c>
      <c r="S118" s="19">
        <f t="shared" si="13"/>
        <v>0</v>
      </c>
    </row>
    <row r="119" spans="1:19" x14ac:dyDescent="0.25">
      <c r="A119" s="24" t="s">
        <v>356</v>
      </c>
      <c r="B119" s="24" t="s">
        <v>357</v>
      </c>
      <c r="C119" s="19"/>
      <c r="D119" s="19">
        <v>1053.3900000000001</v>
      </c>
      <c r="E119" s="19">
        <f t="shared" si="11"/>
        <v>1053.3900000000001</v>
      </c>
      <c r="F119" s="19">
        <v>1053.3900000000001</v>
      </c>
      <c r="G119" s="19">
        <v>0</v>
      </c>
      <c r="H119" s="19">
        <v>0</v>
      </c>
      <c r="I119" s="19"/>
      <c r="J119" s="19">
        <v>0</v>
      </c>
      <c r="K119" s="19"/>
      <c r="L119" s="19"/>
      <c r="M119" s="19"/>
      <c r="N119" s="19"/>
      <c r="O119" s="19"/>
      <c r="P119" s="19"/>
      <c r="Q119" s="19"/>
      <c r="R119" s="19">
        <f t="shared" si="14"/>
        <v>1053.3900000000001</v>
      </c>
      <c r="S119" s="19">
        <f t="shared" si="13"/>
        <v>0</v>
      </c>
    </row>
    <row r="120" spans="1:19" x14ac:dyDescent="0.25">
      <c r="A120" s="24" t="s">
        <v>222</v>
      </c>
      <c r="B120" s="24" t="s">
        <v>237</v>
      </c>
      <c r="C120" s="19">
        <v>40000000</v>
      </c>
      <c r="D120" s="19">
        <v>0</v>
      </c>
      <c r="E120" s="19">
        <f t="shared" si="11"/>
        <v>40000000</v>
      </c>
      <c r="F120" s="19">
        <v>7459750.0099999998</v>
      </c>
      <c r="G120" s="19">
        <v>2880564.1</v>
      </c>
      <c r="H120" s="19">
        <v>5550197.2599999998</v>
      </c>
      <c r="I120" s="19">
        <v>4302933.9800000004</v>
      </c>
      <c r="J120" s="19">
        <v>4570041.8</v>
      </c>
      <c r="K120" s="19"/>
      <c r="L120" s="19"/>
      <c r="M120" s="19"/>
      <c r="N120" s="19"/>
      <c r="O120" s="19"/>
      <c r="P120" s="19"/>
      <c r="Q120" s="19"/>
      <c r="R120" s="19">
        <f t="shared" si="14"/>
        <v>24763487.150000002</v>
      </c>
      <c r="S120" s="19">
        <f t="shared" si="13"/>
        <v>15236512.849999998</v>
      </c>
    </row>
    <row r="121" spans="1:19" x14ac:dyDescent="0.25">
      <c r="A121" s="24" t="s">
        <v>72</v>
      </c>
      <c r="B121" s="24" t="s">
        <v>175</v>
      </c>
      <c r="C121" s="19">
        <v>5999999</v>
      </c>
      <c r="D121" s="19">
        <v>0</v>
      </c>
      <c r="E121" s="19">
        <f t="shared" si="11"/>
        <v>5999999</v>
      </c>
      <c r="F121" s="19">
        <v>35000</v>
      </c>
      <c r="G121" s="19">
        <v>51200.99</v>
      </c>
      <c r="H121" s="19">
        <v>303868</v>
      </c>
      <c r="I121" s="19">
        <v>203820</v>
      </c>
      <c r="J121" s="19">
        <v>16250</v>
      </c>
      <c r="K121" s="19"/>
      <c r="L121" s="19"/>
      <c r="M121" s="19"/>
      <c r="N121" s="19"/>
      <c r="O121" s="19"/>
      <c r="P121" s="19"/>
      <c r="Q121" s="19"/>
      <c r="R121" s="19">
        <f t="shared" si="14"/>
        <v>610138.99</v>
      </c>
      <c r="S121" s="19">
        <f t="shared" si="13"/>
        <v>5389860.0099999998</v>
      </c>
    </row>
    <row r="122" spans="1:19" x14ac:dyDescent="0.25">
      <c r="A122" s="24" t="s">
        <v>73</v>
      </c>
      <c r="B122" s="24" t="s">
        <v>176</v>
      </c>
      <c r="C122" s="19">
        <v>600000</v>
      </c>
      <c r="D122" s="19">
        <v>0</v>
      </c>
      <c r="E122" s="19">
        <f t="shared" si="11"/>
        <v>600000</v>
      </c>
      <c r="F122" s="19"/>
      <c r="G122" s="19">
        <v>125268.8</v>
      </c>
      <c r="H122" s="19">
        <v>81930.2</v>
      </c>
      <c r="I122" s="19">
        <v>126662.77</v>
      </c>
      <c r="J122" s="19">
        <v>33287.5</v>
      </c>
      <c r="K122" s="19"/>
      <c r="L122" s="19"/>
      <c r="M122" s="19"/>
      <c r="N122" s="19"/>
      <c r="O122" s="19"/>
      <c r="P122" s="19"/>
      <c r="Q122" s="19"/>
      <c r="R122" s="19">
        <f t="shared" si="14"/>
        <v>367149.27</v>
      </c>
      <c r="S122" s="19">
        <f t="shared" si="13"/>
        <v>232850.72999999998</v>
      </c>
    </row>
    <row r="123" spans="1:19" x14ac:dyDescent="0.25">
      <c r="A123" s="24" t="s">
        <v>74</v>
      </c>
      <c r="B123" s="24" t="s">
        <v>177</v>
      </c>
      <c r="C123" s="19">
        <v>550000</v>
      </c>
      <c r="D123" s="19">
        <v>0</v>
      </c>
      <c r="E123" s="19">
        <f t="shared" si="11"/>
        <v>550000</v>
      </c>
      <c r="F123" s="19"/>
      <c r="G123" s="19">
        <v>0</v>
      </c>
      <c r="H123" s="19">
        <v>0</v>
      </c>
      <c r="I123" s="19"/>
      <c r="J123" s="19">
        <v>0</v>
      </c>
      <c r="K123" s="19"/>
      <c r="L123" s="19"/>
      <c r="M123" s="19"/>
      <c r="N123" s="19"/>
      <c r="O123" s="19"/>
      <c r="P123" s="19"/>
      <c r="Q123" s="19"/>
      <c r="R123" s="19">
        <f t="shared" si="14"/>
        <v>0</v>
      </c>
      <c r="S123" s="19">
        <f t="shared" si="13"/>
        <v>550000</v>
      </c>
    </row>
    <row r="124" spans="1:19" x14ac:dyDescent="0.25">
      <c r="A124" s="24" t="s">
        <v>288</v>
      </c>
      <c r="B124" s="24" t="s">
        <v>289</v>
      </c>
      <c r="C124" s="19">
        <v>270000</v>
      </c>
      <c r="D124" s="19">
        <v>0</v>
      </c>
      <c r="E124" s="19">
        <f t="shared" si="11"/>
        <v>270000</v>
      </c>
      <c r="F124" s="19"/>
      <c r="G124" s="19">
        <v>0</v>
      </c>
      <c r="H124" s="19">
        <v>2620</v>
      </c>
      <c r="I124" s="19">
        <v>239226.12</v>
      </c>
      <c r="J124" s="19">
        <v>0</v>
      </c>
      <c r="K124" s="19"/>
      <c r="L124" s="19"/>
      <c r="M124" s="19"/>
      <c r="N124" s="19"/>
      <c r="O124" s="19"/>
      <c r="P124" s="19"/>
      <c r="Q124" s="19"/>
      <c r="R124" s="19">
        <f t="shared" si="14"/>
        <v>241846.12</v>
      </c>
      <c r="S124" s="19">
        <f t="shared" si="13"/>
        <v>28153.880000000005</v>
      </c>
    </row>
    <row r="125" spans="1:19" x14ac:dyDescent="0.25">
      <c r="A125" s="24" t="s">
        <v>268</v>
      </c>
      <c r="B125" s="24" t="s">
        <v>269</v>
      </c>
      <c r="C125" s="19">
        <v>220000</v>
      </c>
      <c r="D125" s="19">
        <v>0</v>
      </c>
      <c r="E125" s="19">
        <f t="shared" si="11"/>
        <v>220000</v>
      </c>
      <c r="F125" s="19"/>
      <c r="G125" s="19">
        <v>0</v>
      </c>
      <c r="H125" s="19">
        <v>0</v>
      </c>
      <c r="I125" s="19"/>
      <c r="J125" s="19">
        <v>0</v>
      </c>
      <c r="K125" s="19"/>
      <c r="L125" s="19"/>
      <c r="M125" s="19"/>
      <c r="N125" s="19"/>
      <c r="O125" s="19"/>
      <c r="P125" s="19"/>
      <c r="Q125" s="19"/>
      <c r="R125" s="19">
        <f t="shared" si="14"/>
        <v>0</v>
      </c>
      <c r="S125" s="19">
        <f t="shared" si="13"/>
        <v>220000</v>
      </c>
    </row>
    <row r="126" spans="1:19" x14ac:dyDescent="0.25">
      <c r="A126" s="24" t="s">
        <v>207</v>
      </c>
      <c r="B126" s="24" t="s">
        <v>238</v>
      </c>
      <c r="C126" s="19">
        <v>550000</v>
      </c>
      <c r="D126" s="19">
        <v>0</v>
      </c>
      <c r="E126" s="19">
        <f t="shared" si="11"/>
        <v>550000</v>
      </c>
      <c r="F126" s="19">
        <v>7808</v>
      </c>
      <c r="G126" s="19">
        <v>0</v>
      </c>
      <c r="H126" s="19">
        <v>5310</v>
      </c>
      <c r="I126" s="19"/>
      <c r="J126" s="19">
        <v>9247.5400000000009</v>
      </c>
      <c r="K126" s="19"/>
      <c r="L126" s="19"/>
      <c r="M126" s="19"/>
      <c r="N126" s="19"/>
      <c r="O126" s="19"/>
      <c r="P126" s="19"/>
      <c r="Q126" s="19"/>
      <c r="R126" s="19">
        <f t="shared" si="14"/>
        <v>22365.54</v>
      </c>
      <c r="S126" s="19">
        <f t="shared" si="13"/>
        <v>527634.46</v>
      </c>
    </row>
    <row r="127" spans="1:19" x14ac:dyDescent="0.25">
      <c r="A127" s="24" t="s">
        <v>206</v>
      </c>
      <c r="B127" s="24" t="s">
        <v>239</v>
      </c>
      <c r="C127" s="19">
        <v>1100000</v>
      </c>
      <c r="D127" s="19">
        <v>0</v>
      </c>
      <c r="E127" s="19">
        <f t="shared" si="11"/>
        <v>1100000</v>
      </c>
      <c r="F127" s="19"/>
      <c r="G127" s="19">
        <v>17000</v>
      </c>
      <c r="H127" s="19">
        <v>0</v>
      </c>
      <c r="I127" s="19">
        <v>237904.57</v>
      </c>
      <c r="J127" s="19">
        <v>0</v>
      </c>
      <c r="K127" s="19"/>
      <c r="L127" s="19"/>
      <c r="M127" s="19"/>
      <c r="N127" s="19"/>
      <c r="O127" s="19"/>
      <c r="P127" s="19"/>
      <c r="Q127" s="19"/>
      <c r="R127" s="19">
        <f t="shared" si="14"/>
        <v>254904.57</v>
      </c>
      <c r="S127" s="19">
        <f t="shared" si="13"/>
        <v>845095.42999999993</v>
      </c>
    </row>
    <row r="128" spans="1:19" x14ac:dyDescent="0.25">
      <c r="A128" s="24" t="s">
        <v>75</v>
      </c>
      <c r="B128" s="24" t="s">
        <v>240</v>
      </c>
      <c r="C128" s="19">
        <v>260000</v>
      </c>
      <c r="D128" s="19">
        <v>0</v>
      </c>
      <c r="E128" s="19">
        <f t="shared" si="11"/>
        <v>260000</v>
      </c>
      <c r="F128" s="19"/>
      <c r="G128" s="19">
        <v>309.98</v>
      </c>
      <c r="H128" s="19">
        <v>0</v>
      </c>
      <c r="I128" s="19">
        <v>193623.87</v>
      </c>
      <c r="J128" s="19">
        <v>343</v>
      </c>
      <c r="K128" s="19"/>
      <c r="L128" s="19"/>
      <c r="M128" s="19"/>
      <c r="N128" s="19"/>
      <c r="O128" s="19"/>
      <c r="P128" s="19"/>
      <c r="Q128" s="19"/>
      <c r="R128" s="19">
        <f t="shared" si="14"/>
        <v>194276.85</v>
      </c>
      <c r="S128" s="19">
        <f t="shared" si="13"/>
        <v>65723.149999999994</v>
      </c>
    </row>
    <row r="129" spans="1:19" x14ac:dyDescent="0.25">
      <c r="A129" s="24" t="s">
        <v>208</v>
      </c>
      <c r="B129" s="24" t="s">
        <v>241</v>
      </c>
      <c r="C129" s="19">
        <v>3000000</v>
      </c>
      <c r="D129" s="19">
        <v>0</v>
      </c>
      <c r="E129" s="19">
        <f t="shared" si="11"/>
        <v>3000000</v>
      </c>
      <c r="F129" s="19">
        <v>49702.06</v>
      </c>
      <c r="G129" s="19">
        <v>129871.95000000001</v>
      </c>
      <c r="H129" s="19">
        <v>537653.32999999996</v>
      </c>
      <c r="I129" s="19">
        <v>4626.12</v>
      </c>
      <c r="J129" s="19">
        <v>218272.89</v>
      </c>
      <c r="K129" s="19"/>
      <c r="L129" s="19"/>
      <c r="M129" s="19"/>
      <c r="N129" s="19"/>
      <c r="O129" s="19"/>
      <c r="P129" s="19"/>
      <c r="Q129" s="19"/>
      <c r="R129" s="19">
        <f t="shared" si="14"/>
        <v>940126.35</v>
      </c>
      <c r="S129" s="19">
        <f t="shared" si="13"/>
        <v>2059873.65</v>
      </c>
    </row>
    <row r="130" spans="1:19" x14ac:dyDescent="0.25">
      <c r="A130" s="24" t="s">
        <v>76</v>
      </c>
      <c r="B130" s="24" t="s">
        <v>178</v>
      </c>
      <c r="C130" s="19">
        <v>6200000</v>
      </c>
      <c r="D130" s="19">
        <v>0</v>
      </c>
      <c r="E130" s="19">
        <f t="shared" si="11"/>
        <v>6200000</v>
      </c>
      <c r="F130" s="19">
        <v>253108.82</v>
      </c>
      <c r="G130" s="19">
        <v>514063.17</v>
      </c>
      <c r="H130" s="19">
        <v>612278.26</v>
      </c>
      <c r="I130" s="19">
        <v>15043.5</v>
      </c>
      <c r="J130" s="19">
        <v>607434.89</v>
      </c>
      <c r="K130" s="19"/>
      <c r="L130" s="19"/>
      <c r="M130" s="19"/>
      <c r="N130" s="19"/>
      <c r="O130" s="19"/>
      <c r="P130" s="19"/>
      <c r="Q130" s="19"/>
      <c r="R130" s="19">
        <f t="shared" si="14"/>
        <v>2001928.6400000001</v>
      </c>
      <c r="S130" s="19">
        <f t="shared" si="13"/>
        <v>4198071.3599999994</v>
      </c>
    </row>
    <row r="131" spans="1:19" x14ac:dyDescent="0.25">
      <c r="A131" s="24" t="s">
        <v>77</v>
      </c>
      <c r="B131" s="24" t="s">
        <v>179</v>
      </c>
      <c r="C131" s="19">
        <v>25500000</v>
      </c>
      <c r="D131" s="19">
        <v>0</v>
      </c>
      <c r="E131" s="19">
        <f t="shared" si="11"/>
        <v>25500000</v>
      </c>
      <c r="F131" s="19">
        <v>1954643.94</v>
      </c>
      <c r="G131" s="19">
        <v>252842.29</v>
      </c>
      <c r="H131" s="19">
        <v>1021704.02</v>
      </c>
      <c r="I131" s="19">
        <v>182268.29</v>
      </c>
      <c r="J131" s="19">
        <v>267173.53999999998</v>
      </c>
      <c r="K131" s="19"/>
      <c r="L131" s="19"/>
      <c r="M131" s="19"/>
      <c r="N131" s="19"/>
      <c r="O131" s="19"/>
      <c r="P131" s="19"/>
      <c r="Q131" s="19"/>
      <c r="R131" s="19">
        <f t="shared" si="14"/>
        <v>3678632.08</v>
      </c>
      <c r="S131" s="19">
        <f t="shared" si="13"/>
        <v>21821367.920000002</v>
      </c>
    </row>
    <row r="132" spans="1:19" x14ac:dyDescent="0.25">
      <c r="A132" s="24" t="s">
        <v>295</v>
      </c>
      <c r="B132" s="24" t="s">
        <v>296</v>
      </c>
      <c r="C132" s="19">
        <v>2000000</v>
      </c>
      <c r="D132" s="19">
        <v>0</v>
      </c>
      <c r="E132" s="19">
        <f t="shared" si="11"/>
        <v>2000000</v>
      </c>
      <c r="F132" s="19">
        <v>7511.4</v>
      </c>
      <c r="G132" s="19">
        <v>0</v>
      </c>
      <c r="H132" s="19">
        <v>30783.24</v>
      </c>
      <c r="I132" s="19"/>
      <c r="J132" s="19">
        <v>0</v>
      </c>
      <c r="K132" s="19"/>
      <c r="L132" s="19"/>
      <c r="M132" s="19"/>
      <c r="N132" s="19"/>
      <c r="O132" s="19"/>
      <c r="P132" s="19"/>
      <c r="Q132" s="19"/>
      <c r="R132" s="19">
        <f t="shared" si="14"/>
        <v>38294.639999999999</v>
      </c>
      <c r="S132" s="19">
        <f t="shared" si="13"/>
        <v>1961705.36</v>
      </c>
    </row>
    <row r="133" spans="1:19" x14ac:dyDescent="0.25">
      <c r="A133" s="24" t="s">
        <v>78</v>
      </c>
      <c r="B133" s="24" t="s">
        <v>180</v>
      </c>
      <c r="C133" s="19">
        <v>250000</v>
      </c>
      <c r="D133" s="19">
        <v>382617.39000000007</v>
      </c>
      <c r="E133" s="19">
        <f t="shared" si="11"/>
        <v>632617.39000000013</v>
      </c>
      <c r="F133" s="19"/>
      <c r="G133" s="19">
        <v>0</v>
      </c>
      <c r="H133" s="19">
        <v>426101.79</v>
      </c>
      <c r="I133" s="19">
        <v>174261.01</v>
      </c>
      <c r="J133" s="19">
        <v>32254.59</v>
      </c>
      <c r="K133" s="19"/>
      <c r="L133" s="19"/>
      <c r="M133" s="19"/>
      <c r="N133" s="19"/>
      <c r="O133" s="19"/>
      <c r="P133" s="19"/>
      <c r="Q133" s="19"/>
      <c r="R133" s="19">
        <f t="shared" si="14"/>
        <v>632617.39</v>
      </c>
      <c r="S133" s="19">
        <f t="shared" si="13"/>
        <v>0</v>
      </c>
    </row>
    <row r="134" spans="1:19" x14ac:dyDescent="0.25">
      <c r="A134" s="24" t="s">
        <v>79</v>
      </c>
      <c r="B134" s="24" t="s">
        <v>181</v>
      </c>
      <c r="C134" s="19">
        <v>100000</v>
      </c>
      <c r="D134" s="19">
        <v>0</v>
      </c>
      <c r="E134" s="19">
        <f t="shared" si="11"/>
        <v>100000</v>
      </c>
      <c r="F134" s="19"/>
      <c r="G134" s="19">
        <v>9108.6200000000008</v>
      </c>
      <c r="H134" s="19">
        <v>2325.0500000000002</v>
      </c>
      <c r="I134" s="19"/>
      <c r="J134" s="19">
        <v>0</v>
      </c>
      <c r="K134" s="19"/>
      <c r="L134" s="19"/>
      <c r="M134" s="19"/>
      <c r="N134" s="19"/>
      <c r="O134" s="19"/>
      <c r="P134" s="19"/>
      <c r="Q134" s="19"/>
      <c r="R134" s="19">
        <f t="shared" si="14"/>
        <v>11433.670000000002</v>
      </c>
      <c r="S134" s="19">
        <f t="shared" si="13"/>
        <v>88566.33</v>
      </c>
    </row>
    <row r="135" spans="1:19" x14ac:dyDescent="0.25">
      <c r="A135" s="24" t="s">
        <v>80</v>
      </c>
      <c r="B135" s="24" t="s">
        <v>182</v>
      </c>
      <c r="C135" s="19">
        <v>5000000</v>
      </c>
      <c r="D135" s="19">
        <v>0</v>
      </c>
      <c r="E135" s="19">
        <f t="shared" si="11"/>
        <v>5000000</v>
      </c>
      <c r="F135" s="19">
        <v>383188.23</v>
      </c>
      <c r="G135" s="19">
        <v>294971.28999999998</v>
      </c>
      <c r="H135" s="19">
        <v>2974857.69</v>
      </c>
      <c r="I135" s="19">
        <v>82723.209999999992</v>
      </c>
      <c r="J135" s="19">
        <v>669718.8899999999</v>
      </c>
      <c r="K135" s="19"/>
      <c r="L135" s="19"/>
      <c r="M135" s="19"/>
      <c r="N135" s="19"/>
      <c r="O135" s="19"/>
      <c r="P135" s="19"/>
      <c r="Q135" s="19"/>
      <c r="R135" s="19">
        <f t="shared" si="14"/>
        <v>4405459.3099999996</v>
      </c>
      <c r="S135" s="19">
        <f t="shared" si="13"/>
        <v>594540.69000000041</v>
      </c>
    </row>
    <row r="136" spans="1:19" x14ac:dyDescent="0.25">
      <c r="A136" s="30" t="s">
        <v>81</v>
      </c>
      <c r="B136" s="30" t="s">
        <v>242</v>
      </c>
      <c r="C136" s="20">
        <v>46900000</v>
      </c>
      <c r="D136" s="20">
        <v>-17861507.260000002</v>
      </c>
      <c r="E136" s="20">
        <f t="shared" si="11"/>
        <v>29038492.739999998</v>
      </c>
      <c r="F136" s="20">
        <v>13350295.65</v>
      </c>
      <c r="G136" s="20">
        <v>3869497.93</v>
      </c>
      <c r="H136" s="20">
        <v>3067186.27</v>
      </c>
      <c r="I136" s="20">
        <v>2951253.76</v>
      </c>
      <c r="J136" s="20">
        <v>2943125.76</v>
      </c>
      <c r="K136" s="20"/>
      <c r="L136" s="20"/>
      <c r="M136" s="20"/>
      <c r="N136" s="20"/>
      <c r="O136" s="20"/>
      <c r="P136" s="20"/>
      <c r="Q136" s="20"/>
      <c r="R136" s="20">
        <f t="shared" si="14"/>
        <v>26181359.369999997</v>
      </c>
      <c r="S136" s="20">
        <f t="shared" si="13"/>
        <v>2857133.370000001</v>
      </c>
    </row>
    <row r="137" spans="1:19" x14ac:dyDescent="0.25">
      <c r="A137" s="6" t="s">
        <v>250</v>
      </c>
      <c r="B137" s="6"/>
      <c r="C137" s="17">
        <f>SUM(C90:C136)</f>
        <v>220670394</v>
      </c>
      <c r="D137" s="17">
        <f>SUM(D90:D136)</f>
        <v>-17850586.140000001</v>
      </c>
      <c r="E137" s="17">
        <f>SUM(E90:E136)</f>
        <v>202819807.86000001</v>
      </c>
      <c r="F137" s="17">
        <f>SUM(F90:F136)</f>
        <v>31761833.700000003</v>
      </c>
      <c r="G137" s="17">
        <f t="shared" ref="G137" si="15">SUM(G90:G136)</f>
        <v>14022390.109999998</v>
      </c>
      <c r="H137" s="17">
        <f>SUM(H90:H136)</f>
        <v>21262019.189999998</v>
      </c>
      <c r="I137" s="17">
        <f>SUM(I90:I136)</f>
        <v>14295489.829999996</v>
      </c>
      <c r="J137" s="17">
        <f>SUM(J90:J136)</f>
        <v>17151750.869999997</v>
      </c>
      <c r="K137" s="17">
        <f>SUM(K90:K136)</f>
        <v>0</v>
      </c>
      <c r="L137" s="17">
        <f t="shared" ref="L137:R137" si="16">SUM(L90:L136)</f>
        <v>0</v>
      </c>
      <c r="M137" s="17">
        <f t="shared" si="16"/>
        <v>0</v>
      </c>
      <c r="N137" s="17">
        <f t="shared" si="16"/>
        <v>0</v>
      </c>
      <c r="O137" s="17">
        <f t="shared" si="16"/>
        <v>0</v>
      </c>
      <c r="P137" s="17">
        <f t="shared" si="16"/>
        <v>0</v>
      </c>
      <c r="Q137" s="17">
        <f t="shared" si="16"/>
        <v>0</v>
      </c>
      <c r="R137" s="17">
        <f t="shared" si="16"/>
        <v>98493483.700000018</v>
      </c>
      <c r="S137" s="17">
        <f t="shared" ref="S137" si="17">SUM(S90:S136)</f>
        <v>104326324.16000003</v>
      </c>
    </row>
    <row r="138" spans="1:19" x14ac:dyDescent="0.25">
      <c r="A138" s="24"/>
      <c r="B138" s="24"/>
      <c r="C138" s="19"/>
      <c r="D138" s="19"/>
      <c r="E138" s="24"/>
      <c r="F138" s="19"/>
      <c r="G138" s="19"/>
      <c r="H138" s="19"/>
      <c r="I138" s="19"/>
      <c r="J138" s="19"/>
      <c r="K138" s="19"/>
      <c r="L138" s="19"/>
      <c r="M138" s="19"/>
      <c r="N138" s="19"/>
      <c r="O138" s="19"/>
      <c r="P138" s="19"/>
      <c r="Q138" s="19">
        <f>+Q120+Q121+Q122</f>
        <v>0</v>
      </c>
      <c r="R138" s="24"/>
      <c r="S138" s="24"/>
    </row>
    <row r="139" spans="1:19" x14ac:dyDescent="0.25">
      <c r="A139" s="24"/>
      <c r="B139" s="24"/>
      <c r="C139" s="19"/>
      <c r="D139" s="19"/>
      <c r="E139" s="24"/>
      <c r="F139" s="19"/>
      <c r="G139" s="19"/>
      <c r="H139" s="19"/>
      <c r="I139" s="19"/>
      <c r="J139" s="19"/>
      <c r="K139" s="19"/>
      <c r="L139" s="19"/>
      <c r="M139" s="19"/>
      <c r="N139" s="19"/>
      <c r="O139" s="19"/>
      <c r="P139" s="19"/>
      <c r="Q139" s="19">
        <f>+Q53+Q54+Q56</f>
        <v>0</v>
      </c>
      <c r="R139" s="24"/>
      <c r="S139" s="24"/>
    </row>
    <row r="140" spans="1:19" x14ac:dyDescent="0.25">
      <c r="A140" s="24"/>
      <c r="B140" s="24"/>
      <c r="C140" s="19"/>
      <c r="D140" s="19"/>
      <c r="E140" s="24"/>
      <c r="F140" s="19"/>
      <c r="G140" s="19"/>
      <c r="H140" s="19"/>
      <c r="I140" s="19"/>
      <c r="J140" s="19"/>
      <c r="K140" s="19"/>
      <c r="L140" s="19"/>
      <c r="M140" s="19"/>
      <c r="N140" s="19"/>
      <c r="O140" s="19"/>
      <c r="P140" s="19"/>
      <c r="Q140" s="19">
        <f>+Q137-Q120-Q121-Q122</f>
        <v>0</v>
      </c>
      <c r="R140" s="24"/>
      <c r="S140" s="24"/>
    </row>
    <row r="141" spans="1:19" x14ac:dyDescent="0.25">
      <c r="A141" s="24"/>
      <c r="B141" s="24"/>
      <c r="C141" s="19"/>
      <c r="D141" s="19"/>
      <c r="E141" s="24"/>
      <c r="F141" s="19"/>
      <c r="G141" s="19"/>
      <c r="H141" s="19"/>
      <c r="I141" s="19"/>
      <c r="J141" s="19"/>
      <c r="K141" s="19"/>
      <c r="L141" s="19"/>
      <c r="M141" s="19"/>
      <c r="N141" s="19"/>
      <c r="O141" s="19"/>
      <c r="P141" s="19"/>
      <c r="Q141" s="19"/>
      <c r="R141" s="24"/>
      <c r="S141" s="24"/>
    </row>
    <row r="142" spans="1:19" x14ac:dyDescent="0.25">
      <c r="A142" s="24" t="s">
        <v>82</v>
      </c>
      <c r="B142" s="24" t="s">
        <v>183</v>
      </c>
      <c r="C142" s="19">
        <v>17000000</v>
      </c>
      <c r="D142" s="19">
        <v>0</v>
      </c>
      <c r="E142" s="19">
        <f t="shared" ref="E142:E164" si="18">+C142+D142</f>
        <v>17000000</v>
      </c>
      <c r="F142" s="19">
        <v>1317372.8600000001</v>
      </c>
      <c r="G142" s="19">
        <v>291275.5</v>
      </c>
      <c r="H142" s="19">
        <v>732851.82</v>
      </c>
      <c r="I142" s="19">
        <v>2861946.21</v>
      </c>
      <c r="J142" s="19">
        <v>389346.93</v>
      </c>
      <c r="K142" s="19"/>
      <c r="L142" s="19"/>
      <c r="M142" s="19"/>
      <c r="N142" s="19"/>
      <c r="O142" s="19"/>
      <c r="P142" s="19"/>
      <c r="Q142" s="19"/>
      <c r="R142" s="19">
        <f t="shared" ref="R142:R164" si="19">SUM(F142:Q142)</f>
        <v>5592793.3200000003</v>
      </c>
      <c r="S142" s="19">
        <f t="shared" ref="S142:S143" si="20">+E142-R142</f>
        <v>11407206.68</v>
      </c>
    </row>
    <row r="143" spans="1:19" x14ac:dyDescent="0.25">
      <c r="A143" s="24" t="s">
        <v>350</v>
      </c>
      <c r="B143" s="24" t="s">
        <v>351</v>
      </c>
      <c r="C143" s="19">
        <v>0</v>
      </c>
      <c r="D143" s="19">
        <v>133689.94</v>
      </c>
      <c r="E143" s="19">
        <f t="shared" si="18"/>
        <v>133689.94</v>
      </c>
      <c r="F143" s="19">
        <v>0</v>
      </c>
      <c r="G143" s="19">
        <v>133689.94</v>
      </c>
      <c r="H143" s="19">
        <v>0</v>
      </c>
      <c r="I143" s="19"/>
      <c r="J143" s="19">
        <v>0</v>
      </c>
      <c r="K143" s="19"/>
      <c r="L143" s="19"/>
      <c r="M143" s="19"/>
      <c r="N143" s="19"/>
      <c r="O143" s="19"/>
      <c r="P143" s="19"/>
      <c r="Q143" s="19"/>
      <c r="R143" s="19">
        <f t="shared" si="19"/>
        <v>133689.94</v>
      </c>
      <c r="S143" s="19">
        <f t="shared" si="20"/>
        <v>0</v>
      </c>
    </row>
    <row r="144" spans="1:19" x14ac:dyDescent="0.25">
      <c r="A144" s="24" t="s">
        <v>270</v>
      </c>
      <c r="B144" s="24" t="s">
        <v>271</v>
      </c>
      <c r="C144" s="19">
        <v>500000</v>
      </c>
      <c r="D144" s="19">
        <v>0</v>
      </c>
      <c r="E144" s="19">
        <f t="shared" si="18"/>
        <v>500000</v>
      </c>
      <c r="F144" s="19">
        <v>0</v>
      </c>
      <c r="G144" s="19">
        <v>12390</v>
      </c>
      <c r="H144" s="19">
        <v>0</v>
      </c>
      <c r="I144" s="19">
        <v>48296.22</v>
      </c>
      <c r="J144" s="19">
        <v>0</v>
      </c>
      <c r="K144" s="19"/>
      <c r="L144" s="19"/>
      <c r="M144" s="19"/>
      <c r="N144" s="19"/>
      <c r="O144" s="19"/>
      <c r="P144" s="19"/>
      <c r="Q144" s="19"/>
      <c r="R144" s="19">
        <f t="shared" si="19"/>
        <v>60686.22</v>
      </c>
      <c r="S144" s="19">
        <f t="shared" ref="S144:S164" si="21">+E144-R144</f>
        <v>439313.78</v>
      </c>
    </row>
    <row r="145" spans="1:19" x14ac:dyDescent="0.25">
      <c r="A145" s="24" t="s">
        <v>83</v>
      </c>
      <c r="B145" s="24" t="s">
        <v>184</v>
      </c>
      <c r="C145" s="19">
        <v>198667539</v>
      </c>
      <c r="D145" s="19">
        <v>-22902421.91</v>
      </c>
      <c r="E145" s="19">
        <f t="shared" si="18"/>
        <v>175765117.09</v>
      </c>
      <c r="F145" s="19">
        <v>36520</v>
      </c>
      <c r="G145" s="19">
        <v>41368.879999999997</v>
      </c>
      <c r="H145" s="19">
        <v>7926720.1699999999</v>
      </c>
      <c r="I145" s="19">
        <v>15937.89</v>
      </c>
      <c r="J145" s="19">
        <v>0</v>
      </c>
      <c r="K145" s="19"/>
      <c r="L145" s="19"/>
      <c r="M145" s="19"/>
      <c r="N145" s="19"/>
      <c r="O145" s="19"/>
      <c r="P145" s="19"/>
      <c r="Q145" s="19"/>
      <c r="R145" s="19">
        <f t="shared" si="19"/>
        <v>8020546.9399999995</v>
      </c>
      <c r="S145" s="19">
        <f t="shared" si="21"/>
        <v>167744570.15000001</v>
      </c>
    </row>
    <row r="146" spans="1:19" x14ac:dyDescent="0.25">
      <c r="A146" s="24" t="s">
        <v>213</v>
      </c>
      <c r="B146" s="24" t="s">
        <v>214</v>
      </c>
      <c r="C146" s="19">
        <v>7000000</v>
      </c>
      <c r="D146" s="19">
        <v>0</v>
      </c>
      <c r="E146" s="19">
        <f t="shared" si="18"/>
        <v>7000000</v>
      </c>
      <c r="F146" s="19">
        <v>853356.74</v>
      </c>
      <c r="G146" s="19">
        <v>948331.99000000011</v>
      </c>
      <c r="H146" s="19">
        <v>1173246.7</v>
      </c>
      <c r="I146" s="19">
        <v>342353.55</v>
      </c>
      <c r="J146" s="19">
        <v>345821.42</v>
      </c>
      <c r="K146" s="19"/>
      <c r="L146" s="19"/>
      <c r="M146" s="19"/>
      <c r="N146" s="19"/>
      <c r="O146" s="19"/>
      <c r="P146" s="19"/>
      <c r="Q146" s="19"/>
      <c r="R146" s="19">
        <f t="shared" si="19"/>
        <v>3663110.3999999994</v>
      </c>
      <c r="S146" s="19">
        <f t="shared" si="21"/>
        <v>3336889.6000000006</v>
      </c>
    </row>
    <row r="147" spans="1:19" x14ac:dyDescent="0.25">
      <c r="A147" s="24" t="s">
        <v>84</v>
      </c>
      <c r="B147" s="24" t="s">
        <v>243</v>
      </c>
      <c r="C147" s="19">
        <v>20000000</v>
      </c>
      <c r="D147" s="19">
        <v>0</v>
      </c>
      <c r="E147" s="19">
        <f t="shared" si="18"/>
        <v>20000000</v>
      </c>
      <c r="F147" s="19">
        <v>165161.14000000001</v>
      </c>
      <c r="G147" s="19">
        <v>84903.07</v>
      </c>
      <c r="H147" s="19">
        <v>938151.07</v>
      </c>
      <c r="I147" s="19">
        <v>63286.559999999998</v>
      </c>
      <c r="J147" s="19">
        <v>1468881.51</v>
      </c>
      <c r="K147" s="19"/>
      <c r="L147" s="19"/>
      <c r="M147" s="19"/>
      <c r="N147" s="19"/>
      <c r="O147" s="19"/>
      <c r="P147" s="19"/>
      <c r="Q147" s="19"/>
      <c r="R147" s="19">
        <f t="shared" si="19"/>
        <v>2720383.35</v>
      </c>
      <c r="S147" s="19">
        <f t="shared" si="21"/>
        <v>17279616.649999999</v>
      </c>
    </row>
    <row r="148" spans="1:19" x14ac:dyDescent="0.25">
      <c r="A148" s="24" t="s">
        <v>204</v>
      </c>
      <c r="B148" s="24" t="s">
        <v>244</v>
      </c>
      <c r="C148" s="19">
        <v>45000000</v>
      </c>
      <c r="D148" s="19">
        <v>-8314073.4900000002</v>
      </c>
      <c r="E148" s="19">
        <f t="shared" si="18"/>
        <v>36685926.509999998</v>
      </c>
      <c r="F148" s="19">
        <v>0</v>
      </c>
      <c r="G148" s="19"/>
      <c r="H148" s="19">
        <v>0</v>
      </c>
      <c r="I148" s="19"/>
      <c r="J148" s="19">
        <v>0</v>
      </c>
      <c r="K148" s="19"/>
      <c r="L148" s="19"/>
      <c r="M148" s="19"/>
      <c r="N148" s="19"/>
      <c r="O148" s="19"/>
      <c r="P148" s="19"/>
      <c r="Q148" s="19"/>
      <c r="R148" s="19">
        <f t="shared" si="19"/>
        <v>0</v>
      </c>
      <c r="S148" s="19">
        <f t="shared" si="21"/>
        <v>36685926.509999998</v>
      </c>
    </row>
    <row r="149" spans="1:19" x14ac:dyDescent="0.25">
      <c r="A149" s="24" t="s">
        <v>215</v>
      </c>
      <c r="B149" s="24" t="s">
        <v>245</v>
      </c>
      <c r="C149" s="19">
        <v>100000</v>
      </c>
      <c r="D149" s="19">
        <v>0</v>
      </c>
      <c r="E149" s="19">
        <f t="shared" si="18"/>
        <v>100000</v>
      </c>
      <c r="F149" s="19">
        <v>0</v>
      </c>
      <c r="G149" s="19">
        <v>13564.1</v>
      </c>
      <c r="H149" s="19">
        <v>0</v>
      </c>
      <c r="I149" s="19"/>
      <c r="J149" s="19">
        <v>0</v>
      </c>
      <c r="K149" s="19"/>
      <c r="L149" s="19"/>
      <c r="M149" s="19"/>
      <c r="N149" s="19"/>
      <c r="O149" s="19"/>
      <c r="P149" s="19"/>
      <c r="Q149" s="19"/>
      <c r="R149" s="19">
        <f t="shared" si="19"/>
        <v>13564.1</v>
      </c>
      <c r="S149" s="19">
        <f t="shared" si="21"/>
        <v>86435.9</v>
      </c>
    </row>
    <row r="150" spans="1:19" x14ac:dyDescent="0.25">
      <c r="A150" s="24" t="s">
        <v>85</v>
      </c>
      <c r="B150" s="24" t="s">
        <v>185</v>
      </c>
      <c r="C150" s="19">
        <v>2000000</v>
      </c>
      <c r="D150" s="19">
        <v>5638136.9299999997</v>
      </c>
      <c r="E150" s="19">
        <f t="shared" si="18"/>
        <v>7638136.9299999997</v>
      </c>
      <c r="F150" s="19">
        <v>7638136.9299999997</v>
      </c>
      <c r="G150" s="19"/>
      <c r="H150" s="19">
        <v>0</v>
      </c>
      <c r="I150" s="19"/>
      <c r="J150" s="19">
        <v>0</v>
      </c>
      <c r="K150" s="19"/>
      <c r="L150" s="19"/>
      <c r="M150" s="19"/>
      <c r="N150" s="19"/>
      <c r="O150" s="19"/>
      <c r="P150" s="19"/>
      <c r="Q150" s="19"/>
      <c r="R150" s="19">
        <f t="shared" si="19"/>
        <v>7638136.9299999997</v>
      </c>
      <c r="S150" s="19">
        <f t="shared" si="21"/>
        <v>0</v>
      </c>
    </row>
    <row r="151" spans="1:19" x14ac:dyDescent="0.25">
      <c r="A151" s="24" t="s">
        <v>86</v>
      </c>
      <c r="B151" s="24" t="s">
        <v>186</v>
      </c>
      <c r="C151" s="19">
        <v>2000000</v>
      </c>
      <c r="D151" s="19">
        <v>0</v>
      </c>
      <c r="E151" s="19">
        <f t="shared" si="18"/>
        <v>2000000</v>
      </c>
      <c r="F151" s="19">
        <v>0</v>
      </c>
      <c r="G151" s="19"/>
      <c r="H151" s="19">
        <v>0</v>
      </c>
      <c r="I151" s="19"/>
      <c r="J151" s="19">
        <v>0</v>
      </c>
      <c r="K151" s="19"/>
      <c r="L151" s="19"/>
      <c r="M151" s="19"/>
      <c r="N151" s="19"/>
      <c r="O151" s="19"/>
      <c r="P151" s="19"/>
      <c r="Q151" s="19"/>
      <c r="R151" s="19">
        <f t="shared" si="19"/>
        <v>0</v>
      </c>
      <c r="S151" s="19">
        <f t="shared" si="21"/>
        <v>2000000</v>
      </c>
    </row>
    <row r="152" spans="1:19" x14ac:dyDescent="0.25">
      <c r="A152" s="24" t="s">
        <v>333</v>
      </c>
      <c r="B152" s="24" t="s">
        <v>334</v>
      </c>
      <c r="C152" s="19">
        <v>3000000</v>
      </c>
      <c r="D152" s="19">
        <v>376293.75</v>
      </c>
      <c r="E152" s="19">
        <f t="shared" si="18"/>
        <v>3376293.75</v>
      </c>
      <c r="F152" s="19">
        <v>0</v>
      </c>
      <c r="G152" s="19"/>
      <c r="H152" s="19">
        <v>0</v>
      </c>
      <c r="I152" s="19"/>
      <c r="J152" s="19">
        <v>3376293.75</v>
      </c>
      <c r="K152" s="19"/>
      <c r="L152" s="19"/>
      <c r="M152" s="19"/>
      <c r="N152" s="19"/>
      <c r="O152" s="19"/>
      <c r="P152" s="19"/>
      <c r="Q152" s="19"/>
      <c r="R152" s="19">
        <f t="shared" si="19"/>
        <v>3376293.75</v>
      </c>
      <c r="S152" s="19">
        <f t="shared" si="21"/>
        <v>0</v>
      </c>
    </row>
    <row r="153" spans="1:19" x14ac:dyDescent="0.25">
      <c r="A153" s="24" t="s">
        <v>335</v>
      </c>
      <c r="B153" s="24" t="s">
        <v>336</v>
      </c>
      <c r="C153" s="19">
        <v>0</v>
      </c>
      <c r="D153" s="19">
        <v>626400</v>
      </c>
      <c r="E153" s="19">
        <f t="shared" si="18"/>
        <v>626400</v>
      </c>
      <c r="F153" s="19">
        <v>0</v>
      </c>
      <c r="G153" s="19"/>
      <c r="H153" s="19">
        <v>626400</v>
      </c>
      <c r="I153" s="19"/>
      <c r="J153" s="19">
        <v>0</v>
      </c>
      <c r="K153" s="19"/>
      <c r="L153" s="19"/>
      <c r="M153" s="19"/>
      <c r="N153" s="19"/>
      <c r="O153" s="19"/>
      <c r="P153" s="19"/>
      <c r="Q153" s="19"/>
      <c r="R153" s="19">
        <f t="shared" si="19"/>
        <v>626400</v>
      </c>
      <c r="S153" s="19">
        <f t="shared" si="21"/>
        <v>0</v>
      </c>
    </row>
    <row r="154" spans="1:19" x14ac:dyDescent="0.25">
      <c r="A154" s="24" t="s">
        <v>364</v>
      </c>
      <c r="B154" s="24" t="s">
        <v>365</v>
      </c>
      <c r="C154" s="19"/>
      <c r="D154" s="19">
        <v>600017.69999999995</v>
      </c>
      <c r="E154" s="19">
        <f t="shared" si="18"/>
        <v>600017.69999999995</v>
      </c>
      <c r="F154" s="19"/>
      <c r="G154" s="19"/>
      <c r="H154" s="19">
        <v>600017.69999999995</v>
      </c>
      <c r="I154" s="19"/>
      <c r="J154" s="19">
        <v>0</v>
      </c>
      <c r="K154" s="19"/>
      <c r="L154" s="19"/>
      <c r="M154" s="19"/>
      <c r="N154" s="19"/>
      <c r="O154" s="19"/>
      <c r="P154" s="19"/>
      <c r="Q154" s="19"/>
      <c r="R154" s="19">
        <f t="shared" si="19"/>
        <v>600017.69999999995</v>
      </c>
      <c r="S154" s="19"/>
    </row>
    <row r="155" spans="1:19" x14ac:dyDescent="0.25">
      <c r="A155" s="24" t="s">
        <v>87</v>
      </c>
      <c r="B155" s="24" t="s">
        <v>187</v>
      </c>
      <c r="C155" s="19">
        <v>100000</v>
      </c>
      <c r="D155" s="19"/>
      <c r="E155" s="19">
        <f t="shared" si="18"/>
        <v>100000</v>
      </c>
      <c r="F155" s="19">
        <v>20827</v>
      </c>
      <c r="G155" s="19"/>
      <c r="H155" s="19">
        <v>10693.65</v>
      </c>
      <c r="I155" s="19"/>
      <c r="J155" s="19">
        <v>0</v>
      </c>
      <c r="K155" s="19"/>
      <c r="L155" s="19"/>
      <c r="M155" s="19"/>
      <c r="N155" s="19"/>
      <c r="O155" s="19"/>
      <c r="P155" s="19"/>
      <c r="Q155" s="19"/>
      <c r="R155" s="19">
        <f t="shared" si="19"/>
        <v>31520.65</v>
      </c>
      <c r="S155" s="19">
        <f t="shared" si="21"/>
        <v>68479.350000000006</v>
      </c>
    </row>
    <row r="156" spans="1:19" x14ac:dyDescent="0.25">
      <c r="A156" s="24" t="s">
        <v>88</v>
      </c>
      <c r="B156" s="24" t="s">
        <v>188</v>
      </c>
      <c r="C156" s="19">
        <v>5000000</v>
      </c>
      <c r="D156" s="19"/>
      <c r="E156" s="19">
        <f t="shared" si="18"/>
        <v>5000000</v>
      </c>
      <c r="F156" s="19">
        <v>1273262.46</v>
      </c>
      <c r="G156" s="19">
        <v>1882100</v>
      </c>
      <c r="H156" s="19">
        <v>0</v>
      </c>
      <c r="I156" s="19"/>
      <c r="J156" s="19">
        <v>0</v>
      </c>
      <c r="K156" s="19"/>
      <c r="L156" s="19"/>
      <c r="M156" s="19"/>
      <c r="N156" s="19"/>
      <c r="O156" s="19"/>
      <c r="P156" s="19"/>
      <c r="Q156" s="19"/>
      <c r="R156" s="19">
        <f t="shared" si="19"/>
        <v>3155362.46</v>
      </c>
      <c r="S156" s="19">
        <f t="shared" si="21"/>
        <v>1844637.54</v>
      </c>
    </row>
    <row r="157" spans="1:19" x14ac:dyDescent="0.25">
      <c r="A157" s="24" t="s">
        <v>89</v>
      </c>
      <c r="B157" s="24" t="s">
        <v>189</v>
      </c>
      <c r="C157" s="19">
        <v>1000000</v>
      </c>
      <c r="D157" s="19"/>
      <c r="E157" s="19">
        <f t="shared" si="18"/>
        <v>1000000</v>
      </c>
      <c r="F157" s="19">
        <v>0</v>
      </c>
      <c r="G157" s="19"/>
      <c r="H157" s="19">
        <v>0</v>
      </c>
      <c r="I157" s="19"/>
      <c r="J157" s="19">
        <v>0</v>
      </c>
      <c r="K157" s="19"/>
      <c r="L157" s="19"/>
      <c r="M157" s="19"/>
      <c r="N157" s="19"/>
      <c r="O157" s="19"/>
      <c r="P157" s="19"/>
      <c r="Q157" s="19"/>
      <c r="R157" s="19">
        <f t="shared" si="19"/>
        <v>0</v>
      </c>
      <c r="S157" s="19">
        <f t="shared" si="21"/>
        <v>1000000</v>
      </c>
    </row>
    <row r="158" spans="1:19" x14ac:dyDescent="0.25">
      <c r="A158" s="24" t="s">
        <v>90</v>
      </c>
      <c r="B158" s="24" t="s">
        <v>190</v>
      </c>
      <c r="C158" s="19">
        <v>4000000</v>
      </c>
      <c r="D158" s="19"/>
      <c r="E158" s="19">
        <f t="shared" si="18"/>
        <v>4000000</v>
      </c>
      <c r="F158" s="19">
        <v>0</v>
      </c>
      <c r="G158" s="19"/>
      <c r="H158" s="19">
        <v>0</v>
      </c>
      <c r="I158" s="19"/>
      <c r="J158" s="19">
        <v>0</v>
      </c>
      <c r="K158" s="19"/>
      <c r="L158" s="19"/>
      <c r="M158" s="19"/>
      <c r="N158" s="19"/>
      <c r="O158" s="19"/>
      <c r="P158" s="19"/>
      <c r="Q158" s="19"/>
      <c r="R158" s="19">
        <f t="shared" si="19"/>
        <v>0</v>
      </c>
      <c r="S158" s="19">
        <f t="shared" si="21"/>
        <v>4000000</v>
      </c>
    </row>
    <row r="159" spans="1:19" x14ac:dyDescent="0.25">
      <c r="A159" s="24" t="s">
        <v>91</v>
      </c>
      <c r="B159" s="24" t="s">
        <v>191</v>
      </c>
      <c r="C159" s="19">
        <v>300000</v>
      </c>
      <c r="D159" s="19"/>
      <c r="E159" s="19">
        <f t="shared" si="18"/>
        <v>300000</v>
      </c>
      <c r="F159" s="19">
        <v>8434.64</v>
      </c>
      <c r="G159" s="19"/>
      <c r="H159" s="19">
        <v>0</v>
      </c>
      <c r="I159" s="19"/>
      <c r="J159" s="19">
        <v>0</v>
      </c>
      <c r="K159" s="19"/>
      <c r="L159" s="19"/>
      <c r="M159" s="19"/>
      <c r="N159" s="19"/>
      <c r="O159" s="19"/>
      <c r="P159" s="19"/>
      <c r="Q159" s="19"/>
      <c r="R159" s="19">
        <f t="shared" si="19"/>
        <v>8434.64</v>
      </c>
      <c r="S159" s="19">
        <f t="shared" si="21"/>
        <v>291565.36</v>
      </c>
    </row>
    <row r="160" spans="1:19" x14ac:dyDescent="0.25">
      <c r="A160" s="24" t="s">
        <v>316</v>
      </c>
      <c r="B160" s="24" t="s">
        <v>317</v>
      </c>
      <c r="C160" s="19">
        <v>10000000</v>
      </c>
      <c r="D160" s="19"/>
      <c r="E160" s="19">
        <f t="shared" si="18"/>
        <v>10000000</v>
      </c>
      <c r="F160" s="19">
        <v>0</v>
      </c>
      <c r="G160" s="19">
        <v>6931.83</v>
      </c>
      <c r="H160" s="19">
        <v>0</v>
      </c>
      <c r="I160" s="19">
        <v>9097.7999999999993</v>
      </c>
      <c r="J160" s="19">
        <v>34291.040000000001</v>
      </c>
      <c r="K160" s="19"/>
      <c r="L160" s="19"/>
      <c r="M160" s="19"/>
      <c r="N160" s="19"/>
      <c r="O160" s="19"/>
      <c r="P160" s="19"/>
      <c r="Q160" s="19"/>
      <c r="R160" s="19">
        <f t="shared" si="19"/>
        <v>50320.67</v>
      </c>
      <c r="S160" s="19">
        <f t="shared" si="21"/>
        <v>9949679.3300000001</v>
      </c>
    </row>
    <row r="161" spans="1:19" x14ac:dyDescent="0.25">
      <c r="A161" s="24" t="s">
        <v>272</v>
      </c>
      <c r="B161" s="24" t="s">
        <v>273</v>
      </c>
      <c r="C161" s="19">
        <v>20000000</v>
      </c>
      <c r="D161" s="19"/>
      <c r="E161" s="19">
        <f t="shared" si="18"/>
        <v>20000000</v>
      </c>
      <c r="F161" s="19"/>
      <c r="G161" s="19">
        <v>36816</v>
      </c>
      <c r="H161" s="19">
        <v>0</v>
      </c>
      <c r="I161" s="19"/>
      <c r="J161" s="19">
        <v>0</v>
      </c>
      <c r="K161" s="19"/>
      <c r="L161" s="19"/>
      <c r="M161" s="19"/>
      <c r="N161" s="19"/>
      <c r="O161" s="19"/>
      <c r="P161" s="19"/>
      <c r="Q161" s="19"/>
      <c r="R161" s="19">
        <f t="shared" si="19"/>
        <v>36816</v>
      </c>
      <c r="S161" s="19">
        <f t="shared" si="21"/>
        <v>19963184</v>
      </c>
    </row>
    <row r="162" spans="1:19" x14ac:dyDescent="0.25">
      <c r="A162" s="24" t="s">
        <v>92</v>
      </c>
      <c r="B162" s="24" t="s">
        <v>192</v>
      </c>
      <c r="C162" s="19">
        <v>15000000</v>
      </c>
      <c r="D162" s="19"/>
      <c r="E162" s="19">
        <f t="shared" si="18"/>
        <v>15000000</v>
      </c>
      <c r="F162" s="19"/>
      <c r="G162" s="19"/>
      <c r="H162" s="19">
        <v>0</v>
      </c>
      <c r="I162" s="19"/>
      <c r="J162" s="19">
        <v>0</v>
      </c>
      <c r="K162" s="19"/>
      <c r="L162" s="19"/>
      <c r="M162" s="19"/>
      <c r="N162" s="19"/>
      <c r="O162" s="19"/>
      <c r="P162" s="19"/>
      <c r="Q162" s="19"/>
      <c r="R162" s="19">
        <f t="shared" si="19"/>
        <v>0</v>
      </c>
      <c r="S162" s="19">
        <f t="shared" si="21"/>
        <v>15000000</v>
      </c>
    </row>
    <row r="163" spans="1:19" x14ac:dyDescent="0.25">
      <c r="A163" s="24" t="s">
        <v>93</v>
      </c>
      <c r="B163" s="24" t="s">
        <v>193</v>
      </c>
      <c r="C163" s="19">
        <v>20000000</v>
      </c>
      <c r="D163" s="19"/>
      <c r="E163" s="19">
        <f t="shared" si="18"/>
        <v>20000000</v>
      </c>
      <c r="F163" s="19"/>
      <c r="G163" s="19"/>
      <c r="H163" s="19">
        <v>0</v>
      </c>
      <c r="I163" s="19">
        <v>202071.95</v>
      </c>
      <c r="J163" s="19">
        <v>1479603.73</v>
      </c>
      <c r="K163" s="19"/>
      <c r="L163" s="19"/>
      <c r="M163" s="19"/>
      <c r="N163" s="19"/>
      <c r="O163" s="19"/>
      <c r="P163" s="19"/>
      <c r="Q163" s="19"/>
      <c r="R163" s="19">
        <f t="shared" si="19"/>
        <v>1681675.68</v>
      </c>
      <c r="S163" s="19">
        <f t="shared" si="21"/>
        <v>18318324.32</v>
      </c>
    </row>
    <row r="164" spans="1:19" x14ac:dyDescent="0.25">
      <c r="A164" s="30" t="s">
        <v>94</v>
      </c>
      <c r="B164" s="30" t="s">
        <v>194</v>
      </c>
      <c r="C164" s="20">
        <v>225019079</v>
      </c>
      <c r="D164" s="20"/>
      <c r="E164" s="20">
        <f t="shared" si="18"/>
        <v>225019079</v>
      </c>
      <c r="F164" s="20"/>
      <c r="G164" s="20"/>
      <c r="H164" s="20">
        <v>12390</v>
      </c>
      <c r="I164" s="20"/>
      <c r="J164" s="20">
        <v>0</v>
      </c>
      <c r="K164" s="20"/>
      <c r="L164" s="20"/>
      <c r="M164" s="20"/>
      <c r="N164" s="20"/>
      <c r="O164" s="20"/>
      <c r="P164" s="20"/>
      <c r="Q164" s="20"/>
      <c r="R164" s="20">
        <f t="shared" si="19"/>
        <v>12390</v>
      </c>
      <c r="S164" s="20">
        <f t="shared" si="21"/>
        <v>225006689</v>
      </c>
    </row>
    <row r="165" spans="1:19" x14ac:dyDescent="0.25">
      <c r="A165" s="6" t="s">
        <v>251</v>
      </c>
      <c r="B165" s="6"/>
      <c r="C165" s="17">
        <f t="shared" ref="C165:K165" si="22">SUM(C142:C164)</f>
        <v>595686618</v>
      </c>
      <c r="D165" s="17">
        <f t="shared" si="22"/>
        <v>-23841957.080000002</v>
      </c>
      <c r="E165" s="17">
        <f t="shared" si="22"/>
        <v>571844660.92000008</v>
      </c>
      <c r="F165" s="17">
        <f>SUM(F142:F164)</f>
        <v>11313071.77</v>
      </c>
      <c r="G165" s="17">
        <f t="shared" si="22"/>
        <v>3451371.3100000005</v>
      </c>
      <c r="H165" s="17">
        <f t="shared" si="22"/>
        <v>12020471.109999999</v>
      </c>
      <c r="I165" s="17">
        <f t="shared" si="22"/>
        <v>3542990.18</v>
      </c>
      <c r="J165" s="17">
        <f t="shared" si="22"/>
        <v>7094238.379999999</v>
      </c>
      <c r="K165" s="17">
        <f t="shared" si="22"/>
        <v>0</v>
      </c>
      <c r="L165" s="17">
        <f t="shared" ref="L165:Q165" si="23">SUM(L142:L164)</f>
        <v>0</v>
      </c>
      <c r="M165" s="17">
        <f t="shared" si="23"/>
        <v>0</v>
      </c>
      <c r="N165" s="17">
        <f t="shared" si="23"/>
        <v>0</v>
      </c>
      <c r="O165" s="17">
        <f t="shared" si="23"/>
        <v>0</v>
      </c>
      <c r="P165" s="17">
        <f t="shared" si="23"/>
        <v>0</v>
      </c>
      <c r="Q165" s="17">
        <f t="shared" si="23"/>
        <v>0</v>
      </c>
      <c r="R165" s="17">
        <f t="shared" ref="R165:S165" si="24">SUM(R142:R164)</f>
        <v>37422142.75</v>
      </c>
      <c r="S165" s="17">
        <f t="shared" si="24"/>
        <v>534422518.17000002</v>
      </c>
    </row>
    <row r="166" spans="1:19" x14ac:dyDescent="0.25">
      <c r="A166" s="24"/>
      <c r="B166" s="24"/>
      <c r="C166" s="19"/>
      <c r="D166" s="19"/>
      <c r="E166" s="24"/>
      <c r="F166" s="19"/>
      <c r="G166" s="19"/>
      <c r="H166" s="19"/>
      <c r="I166" s="19"/>
      <c r="J166" s="19"/>
      <c r="K166" s="19"/>
      <c r="L166" s="19"/>
      <c r="M166" s="19"/>
      <c r="N166" s="19"/>
      <c r="O166" s="19"/>
      <c r="P166" s="19"/>
      <c r="Q166" s="19"/>
      <c r="R166" s="24"/>
      <c r="S166" s="24"/>
    </row>
    <row r="167" spans="1:19" x14ac:dyDescent="0.25">
      <c r="A167" s="24"/>
      <c r="B167" s="24"/>
      <c r="C167" s="19"/>
      <c r="D167" s="19"/>
      <c r="E167" s="24"/>
      <c r="F167" s="19"/>
      <c r="G167" s="19"/>
      <c r="H167" s="19"/>
      <c r="I167" s="19"/>
      <c r="J167" s="19"/>
      <c r="K167" s="19"/>
      <c r="L167" s="19"/>
      <c r="M167" s="19"/>
      <c r="N167" s="19"/>
      <c r="O167" s="19"/>
      <c r="P167" s="19"/>
      <c r="Q167" s="19"/>
      <c r="R167" s="24"/>
      <c r="S167" s="24"/>
    </row>
    <row r="168" spans="1:19" x14ac:dyDescent="0.25">
      <c r="A168" s="30" t="s">
        <v>196</v>
      </c>
      <c r="B168" s="30" t="s">
        <v>195</v>
      </c>
      <c r="C168" s="20">
        <v>15000000</v>
      </c>
      <c r="D168" s="20">
        <v>0</v>
      </c>
      <c r="E168" s="20">
        <f t="shared" ref="E168" si="25">+C168+D168</f>
        <v>15000000</v>
      </c>
      <c r="F168" s="20"/>
      <c r="G168" s="20">
        <v>6133215.9900000002</v>
      </c>
      <c r="H168" s="20"/>
      <c r="I168" s="20"/>
      <c r="J168" s="20"/>
      <c r="K168" s="20"/>
      <c r="L168" s="20"/>
      <c r="M168" s="20"/>
      <c r="N168" s="20"/>
      <c r="O168" s="20"/>
      <c r="P168" s="20"/>
      <c r="Q168" s="20"/>
      <c r="R168" s="20">
        <f t="shared" ref="R168" si="26">SUM(F168:Q168)</f>
        <v>6133215.9900000002</v>
      </c>
      <c r="S168" s="20">
        <f t="shared" ref="S168" si="27">+E168-R168</f>
        <v>8866784.0099999998</v>
      </c>
    </row>
    <row r="169" spans="1:19" x14ac:dyDescent="0.25">
      <c r="A169" s="6" t="s">
        <v>252</v>
      </c>
      <c r="B169" s="6"/>
      <c r="C169" s="17">
        <f>SUM(C168)</f>
        <v>15000000</v>
      </c>
      <c r="D169" s="17">
        <f t="shared" ref="D169:G169" si="28">SUM(D168)</f>
        <v>0</v>
      </c>
      <c r="E169" s="17">
        <f t="shared" si="28"/>
        <v>15000000</v>
      </c>
      <c r="F169" s="17">
        <f t="shared" si="28"/>
        <v>0</v>
      </c>
      <c r="G169" s="17">
        <f t="shared" si="28"/>
        <v>6133215.9900000002</v>
      </c>
      <c r="H169" s="17">
        <f>SUM(H168)</f>
        <v>0</v>
      </c>
      <c r="I169" s="17"/>
      <c r="J169" s="17">
        <f>SUM(J168)</f>
        <v>0</v>
      </c>
      <c r="K169" s="17">
        <f>SUM(K168)</f>
        <v>0</v>
      </c>
      <c r="L169" s="17">
        <f>SUM(L168)</f>
        <v>0</v>
      </c>
      <c r="M169" s="17">
        <f>SUM(M168)</f>
        <v>0</v>
      </c>
      <c r="N169" s="17"/>
      <c r="O169" s="17"/>
      <c r="P169" s="17"/>
      <c r="Q169" s="17"/>
      <c r="R169" s="17">
        <f t="shared" ref="R169" si="29">SUM(R168)</f>
        <v>6133215.9900000002</v>
      </c>
      <c r="S169" s="17">
        <f t="shared" ref="S169" si="30">SUM(S168)</f>
        <v>8866784.0099999998</v>
      </c>
    </row>
    <row r="170" spans="1:19" x14ac:dyDescent="0.25">
      <c r="A170" s="6"/>
      <c r="B170" s="6"/>
      <c r="C170" s="17"/>
      <c r="D170" s="19"/>
      <c r="E170" s="24"/>
      <c r="F170" s="19"/>
      <c r="G170" s="19"/>
      <c r="H170" s="19"/>
      <c r="I170" s="19"/>
      <c r="J170" s="19"/>
      <c r="K170" s="19"/>
      <c r="L170" s="19"/>
      <c r="M170" s="19"/>
      <c r="N170" s="19"/>
      <c r="O170" s="19"/>
      <c r="P170" s="19"/>
      <c r="Q170" s="19"/>
      <c r="R170" s="24"/>
      <c r="S170" s="24"/>
    </row>
    <row r="171" spans="1:19" x14ac:dyDescent="0.25">
      <c r="A171" s="24"/>
      <c r="B171" s="24"/>
      <c r="C171" s="19"/>
      <c r="D171" s="19"/>
      <c r="E171" s="24"/>
      <c r="F171" s="19"/>
      <c r="G171" s="19"/>
      <c r="H171" s="19"/>
      <c r="I171" s="19"/>
      <c r="J171" s="19"/>
      <c r="K171" s="19"/>
      <c r="L171" s="19"/>
      <c r="M171" s="19"/>
      <c r="N171" s="19"/>
      <c r="O171" s="19"/>
      <c r="P171" s="19"/>
      <c r="Q171" s="19"/>
      <c r="R171" s="24"/>
      <c r="S171" s="24"/>
    </row>
    <row r="172" spans="1:19" x14ac:dyDescent="0.25">
      <c r="A172" s="24" t="s">
        <v>96</v>
      </c>
      <c r="B172" s="24" t="s">
        <v>197</v>
      </c>
      <c r="C172" s="19">
        <v>7552986</v>
      </c>
      <c r="D172" s="19">
        <v>0</v>
      </c>
      <c r="E172" s="19">
        <f t="shared" ref="E172:E185" si="31">+C172+D172</f>
        <v>7552986</v>
      </c>
      <c r="F172" s="19">
        <v>165400</v>
      </c>
      <c r="G172" s="19">
        <v>1186935</v>
      </c>
      <c r="H172" s="19">
        <v>370800</v>
      </c>
      <c r="I172" s="19">
        <v>260400</v>
      </c>
      <c r="J172" s="19">
        <v>230400</v>
      </c>
      <c r="K172" s="19"/>
      <c r="L172" s="19"/>
      <c r="M172" s="19"/>
      <c r="N172" s="19"/>
      <c r="O172" s="19"/>
      <c r="P172" s="19"/>
      <c r="Q172" s="19"/>
      <c r="R172" s="19">
        <f t="shared" ref="R172:R185" si="32">SUM(F172:Q172)</f>
        <v>2213935</v>
      </c>
      <c r="S172" s="19">
        <f t="shared" ref="S172" si="33">+E172-R172</f>
        <v>5339051</v>
      </c>
    </row>
    <row r="173" spans="1:19" x14ac:dyDescent="0.25">
      <c r="A173" s="24" t="s">
        <v>97</v>
      </c>
      <c r="B173" s="24" t="s">
        <v>198</v>
      </c>
      <c r="C173" s="19">
        <v>96000000</v>
      </c>
      <c r="D173" s="19">
        <v>-15451440.789999999</v>
      </c>
      <c r="E173" s="19">
        <f t="shared" si="31"/>
        <v>80548559.210000008</v>
      </c>
      <c r="F173" s="19">
        <v>2687250</v>
      </c>
      <c r="G173" s="19"/>
      <c r="H173" s="19">
        <v>400870</v>
      </c>
      <c r="I173" s="19">
        <v>3430935</v>
      </c>
      <c r="J173" s="19">
        <v>210935</v>
      </c>
      <c r="K173" s="19"/>
      <c r="L173" s="19"/>
      <c r="M173" s="19"/>
      <c r="N173" s="19"/>
      <c r="O173" s="19"/>
      <c r="P173" s="19"/>
      <c r="Q173" s="19"/>
      <c r="R173" s="19">
        <f t="shared" si="32"/>
        <v>6729990</v>
      </c>
      <c r="S173" s="19">
        <f t="shared" ref="S173:S185" si="34">+E173-R173</f>
        <v>73818569.210000008</v>
      </c>
    </row>
    <row r="174" spans="1:19" x14ac:dyDescent="0.25">
      <c r="A174" s="24" t="s">
        <v>98</v>
      </c>
      <c r="B174" s="24" t="s">
        <v>199</v>
      </c>
      <c r="C174" s="19">
        <v>43000000</v>
      </c>
      <c r="D174" s="19">
        <v>-718257</v>
      </c>
      <c r="E174" s="19">
        <f t="shared" si="31"/>
        <v>42281743</v>
      </c>
      <c r="F174" s="19">
        <v>191107.94</v>
      </c>
      <c r="G174" s="19">
        <v>93801</v>
      </c>
      <c r="H174" s="19">
        <v>0</v>
      </c>
      <c r="I174" s="19">
        <v>125446.6</v>
      </c>
      <c r="J174" s="19">
        <v>218981</v>
      </c>
      <c r="K174" s="19"/>
      <c r="L174" s="19"/>
      <c r="M174" s="19"/>
      <c r="N174" s="19"/>
      <c r="O174" s="19"/>
      <c r="P174" s="19"/>
      <c r="Q174" s="19"/>
      <c r="R174" s="19">
        <f t="shared" si="32"/>
        <v>629336.54</v>
      </c>
      <c r="S174" s="19">
        <f t="shared" si="34"/>
        <v>41652406.460000001</v>
      </c>
    </row>
    <row r="175" spans="1:19" x14ac:dyDescent="0.25">
      <c r="A175" s="24" t="s">
        <v>99</v>
      </c>
      <c r="B175" s="24" t="s">
        <v>200</v>
      </c>
      <c r="C175" s="19">
        <v>10000000</v>
      </c>
      <c r="D175" s="19">
        <v>0</v>
      </c>
      <c r="E175" s="19">
        <f t="shared" si="31"/>
        <v>10000000</v>
      </c>
      <c r="F175" s="19"/>
      <c r="G175" s="19"/>
      <c r="H175" s="19">
        <v>0</v>
      </c>
      <c r="I175" s="19"/>
      <c r="J175" s="19">
        <v>0</v>
      </c>
      <c r="K175" s="19"/>
      <c r="L175" s="19"/>
      <c r="M175" s="19"/>
      <c r="N175" s="19"/>
      <c r="O175" s="19"/>
      <c r="P175" s="19"/>
      <c r="Q175" s="19"/>
      <c r="R175" s="19">
        <f t="shared" si="32"/>
        <v>0</v>
      </c>
      <c r="S175" s="19">
        <f t="shared" si="34"/>
        <v>10000000</v>
      </c>
    </row>
    <row r="176" spans="1:19" x14ac:dyDescent="0.25">
      <c r="A176" s="24" t="s">
        <v>311</v>
      </c>
      <c r="B176" s="24" t="s">
        <v>312</v>
      </c>
      <c r="C176" s="19">
        <v>0</v>
      </c>
      <c r="D176" s="19">
        <v>0</v>
      </c>
      <c r="E176" s="19">
        <f t="shared" si="31"/>
        <v>0</v>
      </c>
      <c r="F176" s="19"/>
      <c r="G176" s="19"/>
      <c r="H176" s="19">
        <v>0</v>
      </c>
      <c r="I176" s="19"/>
      <c r="J176" s="19">
        <v>0</v>
      </c>
      <c r="K176" s="19"/>
      <c r="L176" s="19"/>
      <c r="M176" s="19"/>
      <c r="N176" s="19"/>
      <c r="O176" s="19"/>
      <c r="P176" s="19"/>
      <c r="Q176" s="19"/>
      <c r="R176" s="19">
        <f t="shared" si="32"/>
        <v>0</v>
      </c>
      <c r="S176" s="19">
        <f t="shared" si="34"/>
        <v>0</v>
      </c>
    </row>
    <row r="177" spans="1:19" x14ac:dyDescent="0.25">
      <c r="A177" s="24" t="s">
        <v>100</v>
      </c>
      <c r="B177" s="24" t="s">
        <v>201</v>
      </c>
      <c r="C177" s="19">
        <v>15400000</v>
      </c>
      <c r="D177" s="19">
        <v>0</v>
      </c>
      <c r="E177" s="19">
        <f t="shared" si="31"/>
        <v>15400000</v>
      </c>
      <c r="F177" s="19">
        <v>937500</v>
      </c>
      <c r="G177" s="19">
        <v>926936.98</v>
      </c>
      <c r="H177" s="19">
        <v>3695000</v>
      </c>
      <c r="I177" s="19">
        <v>935400</v>
      </c>
      <c r="J177" s="19">
        <v>2445400</v>
      </c>
      <c r="K177" s="19"/>
      <c r="L177" s="19"/>
      <c r="M177" s="19"/>
      <c r="N177" s="19"/>
      <c r="O177" s="19"/>
      <c r="P177" s="19"/>
      <c r="Q177" s="19"/>
      <c r="R177" s="19">
        <f t="shared" si="32"/>
        <v>8940236.9800000004</v>
      </c>
      <c r="S177" s="19">
        <f t="shared" si="34"/>
        <v>6459763.0199999996</v>
      </c>
    </row>
    <row r="178" spans="1:19" x14ac:dyDescent="0.25">
      <c r="A178" s="24" t="s">
        <v>352</v>
      </c>
      <c r="B178" s="24" t="s">
        <v>353</v>
      </c>
      <c r="C178" s="19"/>
      <c r="D178" s="19">
        <v>0</v>
      </c>
      <c r="E178" s="19">
        <f t="shared" si="31"/>
        <v>0</v>
      </c>
      <c r="F178" s="19"/>
      <c r="G178" s="19"/>
      <c r="H178" s="19">
        <v>0</v>
      </c>
      <c r="I178" s="19"/>
      <c r="J178" s="19">
        <v>0</v>
      </c>
      <c r="K178" s="19"/>
      <c r="L178" s="19"/>
      <c r="M178" s="19"/>
      <c r="N178" s="19"/>
      <c r="O178" s="19"/>
      <c r="P178" s="19"/>
      <c r="Q178" s="19"/>
      <c r="R178" s="19">
        <f t="shared" si="32"/>
        <v>0</v>
      </c>
      <c r="S178" s="19">
        <f t="shared" si="34"/>
        <v>0</v>
      </c>
    </row>
    <row r="179" spans="1:19" x14ac:dyDescent="0.25">
      <c r="A179" s="24" t="s">
        <v>354</v>
      </c>
      <c r="B179" s="24" t="s">
        <v>355</v>
      </c>
      <c r="C179" s="19">
        <v>29500000</v>
      </c>
      <c r="D179" s="19">
        <v>15062440.789999999</v>
      </c>
      <c r="E179" s="19">
        <f t="shared" si="31"/>
        <v>44562440.789999999</v>
      </c>
      <c r="F179" s="19">
        <v>13611387.07</v>
      </c>
      <c r="G179" s="19">
        <v>251053.72</v>
      </c>
      <c r="H179" s="19">
        <v>18000000</v>
      </c>
      <c r="I179" s="19">
        <v>6500000</v>
      </c>
      <c r="J179" s="19">
        <v>6200000</v>
      </c>
      <c r="K179" s="19"/>
      <c r="L179" s="19"/>
      <c r="M179" s="19"/>
      <c r="N179" s="19"/>
      <c r="O179" s="19"/>
      <c r="P179" s="19"/>
      <c r="Q179" s="19"/>
      <c r="R179" s="19">
        <f t="shared" si="32"/>
        <v>44562440.789999999</v>
      </c>
      <c r="S179" s="19">
        <f t="shared" si="34"/>
        <v>0</v>
      </c>
    </row>
    <row r="180" spans="1:19" x14ac:dyDescent="0.25">
      <c r="A180" s="24" t="s">
        <v>362</v>
      </c>
      <c r="B180" s="24" t="s">
        <v>363</v>
      </c>
      <c r="C180" s="19"/>
      <c r="D180" s="19">
        <v>289000</v>
      </c>
      <c r="E180" s="19">
        <f t="shared" si="31"/>
        <v>289000</v>
      </c>
      <c r="F180" s="19"/>
      <c r="G180" s="19"/>
      <c r="H180" s="19">
        <v>200000</v>
      </c>
      <c r="I180" s="19">
        <v>89000</v>
      </c>
      <c r="J180" s="19">
        <v>0</v>
      </c>
      <c r="K180" s="19"/>
      <c r="L180" s="19"/>
      <c r="M180" s="19"/>
      <c r="N180" s="19"/>
      <c r="O180" s="19"/>
      <c r="P180" s="19"/>
      <c r="Q180" s="19"/>
      <c r="R180" s="19">
        <f t="shared" si="32"/>
        <v>289000</v>
      </c>
      <c r="S180" s="19">
        <f t="shared" si="34"/>
        <v>0</v>
      </c>
    </row>
    <row r="181" spans="1:19" x14ac:dyDescent="0.25">
      <c r="A181" s="24" t="s">
        <v>227</v>
      </c>
      <c r="B181" s="24" t="s">
        <v>228</v>
      </c>
      <c r="C181" s="19"/>
      <c r="D181" s="19">
        <v>0</v>
      </c>
      <c r="E181" s="19">
        <f t="shared" si="31"/>
        <v>0</v>
      </c>
      <c r="F181" s="19"/>
      <c r="G181" s="19"/>
      <c r="H181" s="19">
        <v>0</v>
      </c>
      <c r="I181" s="19"/>
      <c r="J181" s="19">
        <v>0</v>
      </c>
      <c r="K181" s="19"/>
      <c r="L181" s="19"/>
      <c r="M181" s="19"/>
      <c r="N181" s="19"/>
      <c r="O181" s="19"/>
      <c r="P181" s="19"/>
      <c r="Q181" s="19"/>
      <c r="R181" s="19">
        <f t="shared" si="32"/>
        <v>0</v>
      </c>
      <c r="S181" s="19">
        <f t="shared" si="34"/>
        <v>0</v>
      </c>
    </row>
    <row r="182" spans="1:19" x14ac:dyDescent="0.25">
      <c r="A182" s="24" t="s">
        <v>101</v>
      </c>
      <c r="B182" s="24" t="s">
        <v>202</v>
      </c>
      <c r="C182" s="19">
        <v>360000</v>
      </c>
      <c r="D182" s="19">
        <v>3283000</v>
      </c>
      <c r="E182" s="19">
        <f t="shared" si="31"/>
        <v>3643000</v>
      </c>
      <c r="F182" s="19">
        <v>3543000</v>
      </c>
      <c r="G182" s="19"/>
      <c r="H182" s="19">
        <v>100000</v>
      </c>
      <c r="I182" s="19"/>
      <c r="J182" s="19">
        <v>0</v>
      </c>
      <c r="K182" s="19"/>
      <c r="L182" s="19"/>
      <c r="M182" s="19"/>
      <c r="N182" s="19"/>
      <c r="O182" s="19"/>
      <c r="P182" s="19"/>
      <c r="Q182" s="19"/>
      <c r="R182" s="19">
        <f t="shared" si="32"/>
        <v>3643000</v>
      </c>
      <c r="S182" s="19">
        <f t="shared" si="34"/>
        <v>0</v>
      </c>
    </row>
    <row r="183" spans="1:19" x14ac:dyDescent="0.25">
      <c r="A183" s="24" t="s">
        <v>274</v>
      </c>
      <c r="B183" s="24" t="s">
        <v>275</v>
      </c>
      <c r="C183" s="19"/>
      <c r="D183" s="19"/>
      <c r="E183" s="19">
        <f t="shared" si="31"/>
        <v>0</v>
      </c>
      <c r="F183" s="19"/>
      <c r="G183" s="19"/>
      <c r="H183" s="19"/>
      <c r="I183" s="19"/>
      <c r="J183" s="19">
        <v>0</v>
      </c>
      <c r="K183" s="19"/>
      <c r="L183" s="19"/>
      <c r="M183" s="19"/>
      <c r="N183" s="19"/>
      <c r="O183" s="19"/>
      <c r="P183" s="19"/>
      <c r="Q183" s="19"/>
      <c r="R183" s="19">
        <f t="shared" si="32"/>
        <v>0</v>
      </c>
      <c r="S183" s="19">
        <f t="shared" si="34"/>
        <v>0</v>
      </c>
    </row>
    <row r="184" spans="1:19" x14ac:dyDescent="0.25">
      <c r="A184" s="24" t="s">
        <v>313</v>
      </c>
      <c r="B184" s="24" t="s">
        <v>314</v>
      </c>
      <c r="C184" s="19"/>
      <c r="D184" s="19"/>
      <c r="E184" s="19">
        <f t="shared" si="31"/>
        <v>0</v>
      </c>
      <c r="F184" s="19"/>
      <c r="G184" s="19"/>
      <c r="H184" s="19"/>
      <c r="I184" s="19"/>
      <c r="J184" s="19">
        <v>0</v>
      </c>
      <c r="K184" s="19"/>
      <c r="L184" s="19"/>
      <c r="M184" s="19"/>
      <c r="N184" s="19"/>
      <c r="O184" s="19"/>
      <c r="P184" s="19"/>
      <c r="Q184" s="19"/>
      <c r="R184" s="19">
        <f t="shared" si="32"/>
        <v>0</v>
      </c>
      <c r="S184" s="19">
        <f t="shared" si="34"/>
        <v>0</v>
      </c>
    </row>
    <row r="185" spans="1:19" x14ac:dyDescent="0.25">
      <c r="A185" s="30" t="s">
        <v>102</v>
      </c>
      <c r="B185" s="30" t="s">
        <v>246</v>
      </c>
      <c r="C185" s="20">
        <v>1900000</v>
      </c>
      <c r="D185" s="20"/>
      <c r="E185" s="20">
        <f t="shared" si="31"/>
        <v>1900000</v>
      </c>
      <c r="F185" s="20"/>
      <c r="G185" s="20">
        <v>463050</v>
      </c>
      <c r="H185" s="20"/>
      <c r="I185" s="20"/>
      <c r="J185" s="20">
        <v>0</v>
      </c>
      <c r="K185" s="20"/>
      <c r="L185" s="20"/>
      <c r="M185" s="20"/>
      <c r="N185" s="20"/>
      <c r="O185" s="20"/>
      <c r="P185" s="20"/>
      <c r="Q185" s="20"/>
      <c r="R185" s="20">
        <f t="shared" si="32"/>
        <v>463050</v>
      </c>
      <c r="S185" s="20">
        <f t="shared" si="34"/>
        <v>1436950</v>
      </c>
    </row>
    <row r="186" spans="1:19" x14ac:dyDescent="0.25">
      <c r="A186" s="6" t="s">
        <v>253</v>
      </c>
      <c r="B186" s="6"/>
      <c r="C186" s="17">
        <f>SUM(C172:C185)</f>
        <v>203712986</v>
      </c>
      <c r="D186" s="17">
        <f>SUM(D172:D185)</f>
        <v>2464743</v>
      </c>
      <c r="E186" s="17">
        <f t="shared" ref="E186:G186" si="35">SUM(E172:E185)</f>
        <v>206177729</v>
      </c>
      <c r="F186" s="17">
        <f t="shared" si="35"/>
        <v>21135645.010000002</v>
      </c>
      <c r="G186" s="17">
        <f t="shared" si="35"/>
        <v>2921776.7</v>
      </c>
      <c r="H186" s="17">
        <f>SUM(H172:H185)</f>
        <v>22766670</v>
      </c>
      <c r="I186" s="17">
        <f>SUM(I172:I185)</f>
        <v>11341181.6</v>
      </c>
      <c r="J186" s="17">
        <f>SUM(J172:J185)</f>
        <v>9305716</v>
      </c>
      <c r="K186" s="17">
        <f>SUM(K172:K185)</f>
        <v>0</v>
      </c>
      <c r="L186" s="17">
        <f t="shared" ref="L186:R186" si="36">SUM(L172:L185)</f>
        <v>0</v>
      </c>
      <c r="M186" s="17">
        <f t="shared" si="36"/>
        <v>0</v>
      </c>
      <c r="N186" s="17">
        <f t="shared" si="36"/>
        <v>0</v>
      </c>
      <c r="O186" s="17">
        <f t="shared" si="36"/>
        <v>0</v>
      </c>
      <c r="P186" s="17">
        <f t="shared" si="36"/>
        <v>0</v>
      </c>
      <c r="Q186" s="17">
        <f t="shared" si="36"/>
        <v>0</v>
      </c>
      <c r="R186" s="17">
        <f t="shared" si="36"/>
        <v>67470989.310000002</v>
      </c>
      <c r="S186" s="17">
        <f t="shared" ref="S186" si="37">SUM(S172:S185)</f>
        <v>138706739.69000003</v>
      </c>
    </row>
    <row r="187" spans="1:19" x14ac:dyDescent="0.25">
      <c r="A187" s="24"/>
      <c r="B187" s="24"/>
      <c r="C187" s="19"/>
      <c r="D187" s="19"/>
      <c r="E187" s="24"/>
      <c r="F187" s="19"/>
      <c r="G187" s="19"/>
      <c r="H187" s="19"/>
      <c r="I187" s="19"/>
      <c r="J187" s="19"/>
      <c r="K187" s="19"/>
      <c r="L187" s="19"/>
      <c r="M187" s="19"/>
      <c r="N187" s="19"/>
      <c r="O187" s="19"/>
      <c r="P187" s="19"/>
      <c r="Q187" s="19"/>
      <c r="R187" s="24"/>
      <c r="S187" s="24"/>
    </row>
    <row r="188" spans="1:19" x14ac:dyDescent="0.25">
      <c r="A188" s="24"/>
      <c r="B188" s="24"/>
      <c r="C188" s="19"/>
      <c r="D188" s="19"/>
      <c r="E188" s="24"/>
      <c r="F188" s="19"/>
      <c r="G188" s="19"/>
      <c r="H188" s="19"/>
      <c r="I188" s="19"/>
      <c r="J188" s="19"/>
      <c r="K188" s="19"/>
      <c r="L188" s="19"/>
      <c r="M188" s="19"/>
      <c r="N188" s="19"/>
      <c r="O188" s="19"/>
      <c r="P188" s="19"/>
      <c r="Q188" s="19"/>
      <c r="R188" s="24"/>
      <c r="S188" s="24"/>
    </row>
    <row r="189" spans="1:19" x14ac:dyDescent="0.25">
      <c r="A189" s="30" t="s">
        <v>103</v>
      </c>
      <c r="B189" s="30" t="s">
        <v>247</v>
      </c>
      <c r="C189" s="20">
        <v>0</v>
      </c>
      <c r="D189" s="20"/>
      <c r="E189" s="20">
        <f t="shared" ref="E189" si="38">+C189+D189</f>
        <v>0</v>
      </c>
      <c r="F189" s="20">
        <v>0</v>
      </c>
      <c r="G189" s="20">
        <v>0</v>
      </c>
      <c r="H189" s="20"/>
      <c r="I189" s="20"/>
      <c r="J189" s="20">
        <v>0</v>
      </c>
      <c r="K189" s="20">
        <v>0</v>
      </c>
      <c r="L189" s="20"/>
      <c r="M189" s="20"/>
      <c r="N189" s="20"/>
      <c r="O189" s="20"/>
      <c r="P189" s="20"/>
      <c r="Q189" s="20"/>
      <c r="R189" s="20">
        <f t="shared" ref="R189" si="39">SUM(F189:Q189)</f>
        <v>0</v>
      </c>
      <c r="S189" s="20">
        <f t="shared" ref="S189" si="40">+E189-R189</f>
        <v>0</v>
      </c>
    </row>
    <row r="190" spans="1:19" x14ac:dyDescent="0.25">
      <c r="A190" s="6" t="s">
        <v>254</v>
      </c>
      <c r="B190" s="6"/>
      <c r="C190" s="17">
        <f>SUM(C189)</f>
        <v>0</v>
      </c>
      <c r="D190" s="17">
        <f t="shared" ref="D190:G190" si="41">SUM(D189)</f>
        <v>0</v>
      </c>
      <c r="E190" s="17">
        <f t="shared" si="41"/>
        <v>0</v>
      </c>
      <c r="F190" s="17">
        <f t="shared" si="41"/>
        <v>0</v>
      </c>
      <c r="G190" s="17">
        <f t="shared" si="41"/>
        <v>0</v>
      </c>
      <c r="H190" s="17"/>
      <c r="I190" s="17"/>
      <c r="J190" s="17">
        <f>SUM(J189)</f>
        <v>0</v>
      </c>
      <c r="K190" s="17">
        <f>SUM(K189)</f>
        <v>0</v>
      </c>
      <c r="L190" s="17"/>
      <c r="M190" s="17"/>
      <c r="N190" s="17"/>
      <c r="O190" s="17"/>
      <c r="P190" s="17"/>
      <c r="Q190" s="17"/>
      <c r="R190" s="17">
        <f t="shared" ref="R190" si="42">SUM(R189)</f>
        <v>0</v>
      </c>
      <c r="S190" s="17">
        <f t="shared" ref="S190" si="43">SUM(S189)</f>
        <v>0</v>
      </c>
    </row>
    <row r="191" spans="1:19" x14ac:dyDescent="0.25">
      <c r="A191" s="6"/>
      <c r="B191" s="6"/>
      <c r="C191" s="17"/>
      <c r="D191" s="17"/>
      <c r="E191" s="17"/>
      <c r="F191" s="17"/>
      <c r="G191" s="17"/>
      <c r="H191" s="17"/>
      <c r="I191" s="17"/>
      <c r="J191" s="17"/>
      <c r="K191" s="17"/>
      <c r="L191" s="17"/>
      <c r="M191" s="17"/>
      <c r="N191" s="17"/>
      <c r="O191" s="17"/>
      <c r="P191" s="17"/>
      <c r="Q191" s="17"/>
      <c r="R191" s="17"/>
      <c r="S191" s="17"/>
    </row>
    <row r="192" spans="1:19" x14ac:dyDescent="0.25">
      <c r="A192" s="6"/>
      <c r="B192" s="6"/>
      <c r="C192" s="17"/>
      <c r="D192" s="17"/>
      <c r="E192" s="17"/>
      <c r="F192" s="17"/>
      <c r="G192" s="17"/>
      <c r="H192" s="17"/>
      <c r="I192" s="17"/>
      <c r="J192" s="17"/>
      <c r="K192" s="17"/>
      <c r="L192" s="17"/>
      <c r="M192" s="17"/>
      <c r="N192" s="17"/>
      <c r="O192" s="17"/>
      <c r="P192" s="17"/>
      <c r="Q192" s="17"/>
      <c r="R192" s="17"/>
      <c r="S192" s="17"/>
    </row>
    <row r="193" spans="1:19" x14ac:dyDescent="0.25">
      <c r="A193" s="30" t="s">
        <v>358</v>
      </c>
      <c r="B193" s="30" t="s">
        <v>359</v>
      </c>
      <c r="C193" s="20">
        <v>0</v>
      </c>
      <c r="D193" s="20">
        <v>7000000</v>
      </c>
      <c r="E193" s="20">
        <f t="shared" ref="E193" si="44">+C193+D193</f>
        <v>7000000</v>
      </c>
      <c r="F193" s="20"/>
      <c r="G193" s="20">
        <v>7000000</v>
      </c>
      <c r="H193" s="20">
        <v>0</v>
      </c>
      <c r="I193" s="20">
        <v>0</v>
      </c>
      <c r="J193" s="20"/>
      <c r="K193" s="20">
        <f t="shared" ref="K193" si="45">+I193+J193</f>
        <v>0</v>
      </c>
      <c r="L193" s="20"/>
      <c r="M193" s="20"/>
      <c r="N193" s="20"/>
      <c r="O193" s="20"/>
      <c r="P193" s="20"/>
      <c r="Q193" s="20"/>
      <c r="R193" s="20">
        <f t="shared" ref="R193" si="46">SUM(F193:Q193)</f>
        <v>7000000</v>
      </c>
      <c r="S193" s="20">
        <f t="shared" ref="S193" si="47">+E193-R193</f>
        <v>0</v>
      </c>
    </row>
    <row r="194" spans="1:19" x14ac:dyDescent="0.25">
      <c r="A194" s="6" t="s">
        <v>360</v>
      </c>
      <c r="B194" s="6"/>
      <c r="C194" s="17">
        <f>SUM(C193)</f>
        <v>0</v>
      </c>
      <c r="D194" s="17">
        <f t="shared" ref="D194:E194" si="48">SUM(D193)</f>
        <v>7000000</v>
      </c>
      <c r="E194" s="17">
        <f t="shared" si="48"/>
        <v>7000000</v>
      </c>
      <c r="F194" s="19">
        <f t="shared" ref="F194:K194" si="49">SUM(F193)</f>
        <v>0</v>
      </c>
      <c r="G194" s="17">
        <f t="shared" si="49"/>
        <v>7000000</v>
      </c>
      <c r="H194" s="19">
        <f t="shared" si="49"/>
        <v>0</v>
      </c>
      <c r="I194" s="17">
        <f t="shared" si="49"/>
        <v>0</v>
      </c>
      <c r="J194" s="17">
        <f t="shared" si="49"/>
        <v>0</v>
      </c>
      <c r="K194" s="17">
        <f t="shared" si="49"/>
        <v>0</v>
      </c>
      <c r="L194" s="19"/>
      <c r="M194" s="19"/>
      <c r="N194" s="19"/>
      <c r="O194" s="19"/>
      <c r="P194" s="19"/>
      <c r="Q194" s="19"/>
      <c r="R194" s="17">
        <f>SUM(R193)</f>
        <v>7000000</v>
      </c>
      <c r="S194" s="17">
        <f>SUM(S193)</f>
        <v>0</v>
      </c>
    </row>
    <row r="195" spans="1:19" x14ac:dyDescent="0.25">
      <c r="A195" s="6"/>
      <c r="B195" s="6"/>
      <c r="C195" s="17"/>
      <c r="D195" s="17"/>
      <c r="E195" s="17"/>
      <c r="F195" s="19"/>
      <c r="G195" s="19"/>
      <c r="H195" s="19"/>
      <c r="I195" s="17"/>
      <c r="J195" s="17"/>
      <c r="K195" s="17"/>
      <c r="L195" s="19"/>
      <c r="M195" s="19"/>
      <c r="N195" s="19"/>
      <c r="O195" s="19"/>
      <c r="P195" s="19"/>
      <c r="Q195" s="19"/>
      <c r="R195" s="19"/>
      <c r="S195" s="19"/>
    </row>
    <row r="196" spans="1:19" x14ac:dyDescent="0.25">
      <c r="A196" s="6"/>
      <c r="B196" s="6"/>
      <c r="C196" s="17"/>
      <c r="D196" s="17"/>
      <c r="E196" s="17"/>
      <c r="F196" s="19"/>
      <c r="G196" s="19"/>
      <c r="H196" s="19"/>
      <c r="I196" s="17"/>
      <c r="J196" s="17"/>
      <c r="K196" s="17"/>
      <c r="L196" s="19"/>
      <c r="M196" s="19"/>
      <c r="N196" s="19"/>
      <c r="O196" s="19"/>
      <c r="P196" s="19"/>
      <c r="Q196" s="19"/>
      <c r="R196" s="19"/>
      <c r="S196" s="19"/>
    </row>
    <row r="197" spans="1:19" x14ac:dyDescent="0.25">
      <c r="A197" s="30" t="s">
        <v>104</v>
      </c>
      <c r="B197" s="30" t="s">
        <v>205</v>
      </c>
      <c r="C197" s="20">
        <v>47500000</v>
      </c>
      <c r="D197" s="20"/>
      <c r="E197" s="20">
        <f t="shared" ref="E197" si="50">+C197+D197</f>
        <v>47500000</v>
      </c>
      <c r="F197" s="20"/>
      <c r="G197" s="20">
        <v>23855753.109999999</v>
      </c>
      <c r="H197" s="20"/>
      <c r="I197" s="20"/>
      <c r="J197" s="20"/>
      <c r="K197" s="20"/>
      <c r="L197" s="20"/>
      <c r="M197" s="20"/>
      <c r="N197" s="20"/>
      <c r="O197" s="20"/>
      <c r="P197" s="20"/>
      <c r="Q197" s="20"/>
      <c r="R197" s="20">
        <f t="shared" ref="R197" si="51">SUM(F197:Q197)</f>
        <v>23855753.109999999</v>
      </c>
      <c r="S197" s="20">
        <f t="shared" ref="S197" si="52">+E197-R197</f>
        <v>23644246.890000001</v>
      </c>
    </row>
    <row r="198" spans="1:19" x14ac:dyDescent="0.25">
      <c r="A198" s="6" t="s">
        <v>255</v>
      </c>
      <c r="B198" s="6"/>
      <c r="C198" s="17">
        <f>SUM(C197)</f>
        <v>47500000</v>
      </c>
      <c r="D198" s="17">
        <f t="shared" ref="D198:G198" si="53">SUM(D197)</f>
        <v>0</v>
      </c>
      <c r="E198" s="17">
        <f t="shared" si="53"/>
        <v>47500000</v>
      </c>
      <c r="F198" s="17">
        <f t="shared" si="53"/>
        <v>0</v>
      </c>
      <c r="G198" s="17">
        <f t="shared" si="53"/>
        <v>23855753.109999999</v>
      </c>
      <c r="H198" s="17"/>
      <c r="I198" s="17"/>
      <c r="J198" s="17">
        <f>SUM(J197)</f>
        <v>0</v>
      </c>
      <c r="K198" s="17">
        <f>SUM(K197)</f>
        <v>0</v>
      </c>
      <c r="L198" s="17"/>
      <c r="M198" s="17">
        <f>SUM(M197)</f>
        <v>0</v>
      </c>
      <c r="N198" s="17"/>
      <c r="O198" s="17"/>
      <c r="P198" s="17"/>
      <c r="Q198" s="17"/>
      <c r="R198" s="17">
        <f t="shared" ref="R198" si="54">SUM(R197)</f>
        <v>23855753.109999999</v>
      </c>
      <c r="S198" s="17">
        <f t="shared" ref="S198" si="55">SUM(S197)</f>
        <v>23644246.890000001</v>
      </c>
    </row>
    <row r="199" spans="1:19" x14ac:dyDescent="0.25">
      <c r="A199" s="24"/>
      <c r="B199" s="24"/>
      <c r="C199" s="19"/>
      <c r="D199" s="19"/>
      <c r="E199" s="24"/>
      <c r="F199" s="19"/>
      <c r="G199" s="19"/>
      <c r="H199" s="19"/>
      <c r="I199" s="19"/>
      <c r="J199" s="19"/>
      <c r="K199" s="19"/>
      <c r="L199" s="19"/>
      <c r="M199" s="19"/>
      <c r="N199" s="19"/>
      <c r="O199" s="19"/>
      <c r="P199" s="19"/>
      <c r="Q199" s="19"/>
      <c r="R199" s="24"/>
      <c r="S199" s="24"/>
    </row>
    <row r="200" spans="1:19" x14ac:dyDescent="0.25">
      <c r="A200" s="5"/>
      <c r="B200" s="5"/>
      <c r="C200" s="20"/>
      <c r="D200" s="20"/>
      <c r="E200" s="30"/>
      <c r="F200" s="20"/>
      <c r="G200" s="20"/>
      <c r="H200" s="20"/>
      <c r="I200" s="20"/>
      <c r="J200" s="20"/>
      <c r="K200" s="20"/>
      <c r="L200" s="20"/>
      <c r="M200" s="20"/>
      <c r="N200" s="20"/>
      <c r="O200" s="20"/>
      <c r="P200" s="20"/>
      <c r="Q200" s="20"/>
      <c r="R200" s="30"/>
      <c r="S200" s="30"/>
    </row>
    <row r="201" spans="1:19" ht="15.75" thickBot="1" x14ac:dyDescent="0.3">
      <c r="A201" s="15" t="s">
        <v>0</v>
      </c>
      <c r="B201" s="15"/>
      <c r="C201" s="16">
        <f>+C198+C190+C186+C169+C165+C137+C87+C29</f>
        <v>5253630835</v>
      </c>
      <c r="D201" s="16">
        <f>+D198+D194+D190+D186+D169+D165+D137+D87+D29</f>
        <v>3.7252902984619141E-9</v>
      </c>
      <c r="E201" s="16">
        <f>+E198++E194+E190+E186+E169+E165+E137+E87+E29</f>
        <v>5253630835</v>
      </c>
      <c r="F201" s="16">
        <f>+F198+F190+F186+F169+F165+F137+F87+F29</f>
        <v>354605301.64999998</v>
      </c>
      <c r="G201" s="16">
        <f>+G198+G194+G190+G186+G169+G165+G137+G87+G29</f>
        <v>361888211.56999993</v>
      </c>
      <c r="H201" s="16">
        <f t="shared" ref="H201:Q201" si="56">+H198+H190+H186+H169+H165+H137+H87+H29</f>
        <v>401136377.48999989</v>
      </c>
      <c r="I201" s="16">
        <f t="shared" si="56"/>
        <v>275933022.48000002</v>
      </c>
      <c r="J201" s="16">
        <f t="shared" si="56"/>
        <v>424551578.88</v>
      </c>
      <c r="K201" s="16">
        <f t="shared" si="56"/>
        <v>0</v>
      </c>
      <c r="L201" s="16">
        <f t="shared" si="56"/>
        <v>0</v>
      </c>
      <c r="M201" s="16">
        <f t="shared" si="56"/>
        <v>0</v>
      </c>
      <c r="N201" s="16">
        <f t="shared" si="56"/>
        <v>0</v>
      </c>
      <c r="O201" s="16">
        <f t="shared" si="56"/>
        <v>0</v>
      </c>
      <c r="P201" s="16">
        <f t="shared" si="56"/>
        <v>0</v>
      </c>
      <c r="Q201" s="16">
        <f t="shared" si="56"/>
        <v>0</v>
      </c>
      <c r="R201" s="16">
        <f>+R198+R194+R190+R186+R169+R165+R137+R87+R29</f>
        <v>1818114492.0700002</v>
      </c>
      <c r="S201" s="16">
        <f>+S198+S190+S186+S169+S165+S137+S87+S29</f>
        <v>3435516342.9300003</v>
      </c>
    </row>
    <row r="202" spans="1:19" ht="15.75" thickTop="1" x14ac:dyDescent="0.25">
      <c r="C202" s="1"/>
      <c r="D202" s="1"/>
      <c r="E202" s="1"/>
      <c r="F202" s="1"/>
      <c r="G202" s="1"/>
      <c r="H202" s="1"/>
      <c r="I202" s="1"/>
      <c r="J202" s="1"/>
      <c r="K202" s="1"/>
      <c r="L202" s="1"/>
      <c r="M202" s="1"/>
      <c r="N202" s="1"/>
      <c r="O202" s="1"/>
      <c r="P202" s="1"/>
      <c r="Q202" s="1"/>
      <c r="R202" s="1"/>
      <c r="S202" s="1"/>
    </row>
    <row r="203" spans="1:19" x14ac:dyDescent="0.25">
      <c r="C203" s="1"/>
      <c r="D203" s="1"/>
      <c r="E203" s="1"/>
      <c r="F203" s="1"/>
      <c r="G203" s="1"/>
      <c r="H203" s="1"/>
      <c r="I203" s="1"/>
      <c r="J203" s="1"/>
      <c r="K203" s="1"/>
      <c r="L203" s="1"/>
      <c r="M203" s="1"/>
      <c r="N203" s="1"/>
      <c r="O203" s="1"/>
      <c r="P203" s="1"/>
      <c r="Q203" s="1"/>
      <c r="R203" s="1"/>
      <c r="S203" s="1"/>
    </row>
    <row r="204" spans="1:19" x14ac:dyDescent="0.25">
      <c r="C204" s="1"/>
      <c r="D204" s="1"/>
      <c r="E204" s="1"/>
      <c r="F204" s="1"/>
      <c r="G204" s="1"/>
      <c r="H204" s="1"/>
      <c r="I204" s="1"/>
      <c r="J204" s="1"/>
      <c r="K204" s="1"/>
      <c r="L204" s="1"/>
      <c r="M204" s="1"/>
      <c r="N204" s="1"/>
      <c r="O204" s="1"/>
      <c r="P204" s="1"/>
      <c r="Q204" s="1"/>
      <c r="R204" s="1"/>
      <c r="S204" s="1"/>
    </row>
    <row r="205" spans="1:19" x14ac:dyDescent="0.25">
      <c r="C205" s="1"/>
      <c r="D205" s="1"/>
      <c r="E205" s="1"/>
      <c r="F205" s="1"/>
      <c r="G205" s="1"/>
      <c r="H205" s="1"/>
      <c r="I205" s="1"/>
      <c r="J205" s="1"/>
      <c r="K205" s="1"/>
      <c r="L205" s="1"/>
      <c r="M205" s="1"/>
      <c r="N205" s="1"/>
      <c r="O205" s="1"/>
      <c r="P205" s="1"/>
      <c r="Q205" s="1"/>
      <c r="R205" s="1"/>
      <c r="S205" s="1"/>
    </row>
    <row r="206" spans="1:19" x14ac:dyDescent="0.25">
      <c r="C206" s="1"/>
      <c r="D206" s="1"/>
      <c r="E206" s="1"/>
      <c r="F206" s="1"/>
      <c r="G206" s="1"/>
      <c r="H206" s="1"/>
      <c r="I206" s="1"/>
      <c r="J206" s="1"/>
      <c r="K206" s="1"/>
      <c r="L206" s="1"/>
      <c r="M206" s="1"/>
      <c r="N206" s="1"/>
      <c r="O206" s="1"/>
      <c r="P206" s="1"/>
      <c r="Q206" s="1"/>
      <c r="R206" s="1"/>
      <c r="S206" s="1"/>
    </row>
    <row r="207" spans="1:19" x14ac:dyDescent="0.25">
      <c r="C207" s="1"/>
      <c r="D207" s="1"/>
      <c r="E207" s="1"/>
      <c r="F207" s="1"/>
      <c r="G207" s="1"/>
      <c r="H207" s="1"/>
      <c r="I207" s="1"/>
      <c r="J207" s="1"/>
      <c r="K207" s="1"/>
      <c r="L207" s="1"/>
      <c r="M207" s="1"/>
      <c r="N207" s="1"/>
      <c r="O207" s="1"/>
      <c r="P207" s="1"/>
      <c r="Q207" s="1"/>
      <c r="R207" s="1"/>
      <c r="S207" s="1"/>
    </row>
    <row r="208" spans="1:19" x14ac:dyDescent="0.25">
      <c r="C208" s="1"/>
      <c r="D208" s="1"/>
      <c r="E208" s="1"/>
      <c r="F208" s="1"/>
      <c r="G208" s="1"/>
      <c r="H208" s="1"/>
      <c r="I208" s="1"/>
      <c r="J208" s="1"/>
      <c r="K208" s="1"/>
      <c r="L208" s="1"/>
      <c r="M208" s="1"/>
      <c r="N208" s="1"/>
      <c r="O208" s="1"/>
      <c r="P208" s="1"/>
      <c r="Q208" s="1"/>
      <c r="R208" s="1"/>
      <c r="S208" s="1"/>
    </row>
    <row r="209" spans="3:19" x14ac:dyDescent="0.25">
      <c r="C209" s="1"/>
      <c r="D209" s="1"/>
      <c r="E209" s="1"/>
      <c r="F209" s="1"/>
      <c r="G209" s="1"/>
      <c r="H209" s="1"/>
      <c r="I209" s="1"/>
      <c r="J209" s="1"/>
      <c r="K209" s="1"/>
      <c r="L209" s="1"/>
      <c r="M209" s="1"/>
      <c r="N209" s="1"/>
      <c r="O209" s="1"/>
      <c r="P209" s="1"/>
      <c r="Q209" s="1"/>
      <c r="R209" s="1"/>
      <c r="S209" s="1"/>
    </row>
    <row r="210" spans="3:19" x14ac:dyDescent="0.25">
      <c r="C210" s="1"/>
      <c r="D210" s="1"/>
      <c r="E210" s="1"/>
      <c r="F210" s="1"/>
      <c r="G210" s="1"/>
      <c r="H210" s="1"/>
      <c r="I210" s="1"/>
      <c r="J210" s="1"/>
      <c r="K210" s="1"/>
      <c r="L210" s="1"/>
      <c r="M210" s="1"/>
      <c r="N210" s="1"/>
      <c r="O210" s="1"/>
      <c r="P210" s="1"/>
      <c r="Q210" s="1"/>
      <c r="R210" s="1"/>
      <c r="S210" s="1"/>
    </row>
    <row r="211" spans="3:19" x14ac:dyDescent="0.25">
      <c r="C211" s="1"/>
      <c r="D211" s="1"/>
      <c r="E211" s="1"/>
      <c r="F211" s="1"/>
      <c r="G211" s="1"/>
      <c r="H211" s="1"/>
      <c r="I211" s="1"/>
      <c r="J211" s="1"/>
      <c r="K211" s="1"/>
      <c r="L211" s="1"/>
      <c r="M211" s="1"/>
      <c r="N211" s="1"/>
      <c r="O211" s="1"/>
      <c r="P211" s="1"/>
      <c r="Q211" s="1"/>
      <c r="R211" s="1"/>
      <c r="S211" s="1"/>
    </row>
    <row r="212" spans="3:19" x14ac:dyDescent="0.25">
      <c r="C212" s="1"/>
      <c r="D212" s="1"/>
      <c r="E212" s="1"/>
      <c r="F212" s="1"/>
      <c r="G212" s="1"/>
      <c r="H212" s="1"/>
      <c r="I212" s="1"/>
      <c r="J212" s="1"/>
      <c r="K212" s="1"/>
      <c r="L212" s="1"/>
      <c r="M212" s="1"/>
      <c r="N212" s="1"/>
      <c r="O212" s="1"/>
      <c r="P212" s="1"/>
      <c r="Q212" s="1"/>
      <c r="R212" s="1"/>
      <c r="S212" s="1"/>
    </row>
    <row r="213" spans="3:19" x14ac:dyDescent="0.25">
      <c r="C213" s="1"/>
      <c r="D213" s="1"/>
      <c r="E213" s="1"/>
      <c r="F213" s="1"/>
      <c r="G213" s="1"/>
      <c r="H213" s="1"/>
      <c r="I213" s="1"/>
      <c r="J213" s="1"/>
      <c r="K213" s="1"/>
      <c r="L213" s="1"/>
      <c r="M213" s="1"/>
      <c r="N213" s="1"/>
      <c r="O213" s="1"/>
      <c r="P213" s="1"/>
      <c r="Q213" s="1"/>
      <c r="R213" s="1"/>
      <c r="S213" s="1"/>
    </row>
    <row r="214" spans="3:19" x14ac:dyDescent="0.25">
      <c r="C214" s="1"/>
      <c r="D214" s="1"/>
      <c r="E214" s="1"/>
      <c r="F214" s="1"/>
      <c r="G214" s="1"/>
      <c r="H214" s="1"/>
      <c r="I214" s="1"/>
      <c r="J214" s="1"/>
      <c r="K214" s="1"/>
      <c r="L214" s="1"/>
      <c r="M214" s="1"/>
      <c r="N214" s="1"/>
      <c r="O214" s="1"/>
      <c r="P214" s="1"/>
      <c r="Q214" s="1"/>
      <c r="R214" s="1"/>
      <c r="S214" s="1"/>
    </row>
    <row r="215" spans="3:19" x14ac:dyDescent="0.25">
      <c r="C215" s="1"/>
      <c r="D215" s="1"/>
      <c r="E215" s="1"/>
      <c r="F215" s="1"/>
      <c r="G215" s="1"/>
      <c r="H215" s="1"/>
      <c r="I215" s="1"/>
      <c r="J215" s="1"/>
      <c r="K215" s="1"/>
      <c r="L215" s="1"/>
      <c r="M215" s="1"/>
      <c r="N215" s="1"/>
      <c r="O215" s="1"/>
      <c r="P215" s="1"/>
      <c r="Q215" s="1"/>
      <c r="R215" s="1"/>
      <c r="S215" s="1"/>
    </row>
    <row r="216" spans="3:19" x14ac:dyDescent="0.25">
      <c r="C216" s="1"/>
      <c r="D216" s="1"/>
      <c r="E216" s="1"/>
      <c r="F216" s="1"/>
      <c r="G216" s="1"/>
      <c r="H216" s="1"/>
      <c r="I216" s="1"/>
      <c r="J216" s="1"/>
      <c r="K216" s="1"/>
      <c r="L216" s="1"/>
      <c r="M216" s="1"/>
      <c r="N216" s="1"/>
      <c r="O216" s="1"/>
      <c r="P216" s="1"/>
      <c r="Q216" s="1"/>
      <c r="R216" s="1"/>
      <c r="S216" s="1"/>
    </row>
    <row r="217" spans="3:19" x14ac:dyDescent="0.25">
      <c r="C217" s="1"/>
      <c r="D217" s="1"/>
      <c r="E217" s="1"/>
      <c r="F217" s="1"/>
      <c r="G217" s="1"/>
      <c r="H217" s="1"/>
      <c r="I217" s="1"/>
      <c r="J217" s="1"/>
      <c r="K217" s="1"/>
      <c r="L217" s="1"/>
      <c r="M217" s="1"/>
      <c r="N217" s="1"/>
      <c r="O217" s="1"/>
      <c r="P217" s="1"/>
      <c r="Q217" s="1"/>
      <c r="R217" s="1"/>
      <c r="S217" s="1"/>
    </row>
    <row r="218" spans="3:19" x14ac:dyDescent="0.25">
      <c r="C218" s="1"/>
      <c r="D218" s="1"/>
      <c r="E218" s="1"/>
      <c r="F218" s="1"/>
      <c r="G218" s="1"/>
      <c r="H218" s="1"/>
      <c r="I218" s="1"/>
      <c r="J218" s="1"/>
      <c r="K218" s="1"/>
      <c r="L218" s="1"/>
      <c r="M218" s="1"/>
      <c r="N218" s="1"/>
      <c r="O218" s="1"/>
      <c r="P218" s="1"/>
      <c r="Q218" s="1"/>
      <c r="R218" s="1"/>
      <c r="S218" s="1"/>
    </row>
    <row r="219" spans="3:19" x14ac:dyDescent="0.25">
      <c r="C219" s="1"/>
      <c r="D219" s="1"/>
      <c r="E219" s="1"/>
      <c r="F219" s="1"/>
      <c r="G219" s="1"/>
      <c r="H219" s="1"/>
      <c r="I219" s="1"/>
      <c r="J219" s="1"/>
      <c r="K219" s="1"/>
      <c r="L219" s="1"/>
      <c r="M219" s="1"/>
      <c r="N219" s="1"/>
      <c r="O219" s="1"/>
      <c r="P219" s="1"/>
      <c r="Q219" s="1"/>
      <c r="R219" s="1"/>
      <c r="S219" s="1"/>
    </row>
    <row r="220" spans="3:19" x14ac:dyDescent="0.25">
      <c r="C220" s="1"/>
      <c r="D220" s="1"/>
      <c r="E220" s="1"/>
      <c r="F220" s="1"/>
      <c r="G220" s="1"/>
      <c r="H220" s="1"/>
      <c r="I220" s="1"/>
      <c r="J220" s="1"/>
      <c r="K220" s="1"/>
      <c r="L220" s="1"/>
      <c r="M220" s="1"/>
      <c r="N220" s="1"/>
      <c r="O220" s="1"/>
      <c r="P220" s="1"/>
      <c r="Q220" s="1"/>
      <c r="R220" s="1"/>
      <c r="S220" s="1"/>
    </row>
    <row r="221" spans="3:19" x14ac:dyDescent="0.25">
      <c r="C221" s="1"/>
      <c r="D221" s="1"/>
      <c r="E221" s="1"/>
      <c r="F221" s="1"/>
      <c r="G221" s="1"/>
      <c r="H221" s="1"/>
      <c r="I221" s="1"/>
      <c r="J221" s="1"/>
      <c r="K221" s="1"/>
      <c r="L221" s="1"/>
      <c r="M221" s="1"/>
      <c r="N221" s="1"/>
      <c r="O221" s="1"/>
      <c r="P221" s="1"/>
      <c r="Q221" s="1"/>
      <c r="R221" s="1"/>
      <c r="S221" s="1"/>
    </row>
    <row r="222" spans="3:19" x14ac:dyDescent="0.25">
      <c r="C222" s="1"/>
      <c r="D222" s="1"/>
      <c r="E222" s="1"/>
      <c r="F222" s="1"/>
      <c r="G222" s="1"/>
      <c r="H222" s="1"/>
      <c r="I222" s="1"/>
      <c r="J222" s="1"/>
      <c r="K222" s="1"/>
      <c r="L222" s="1"/>
      <c r="M222" s="1"/>
      <c r="N222" s="1"/>
      <c r="O222" s="1"/>
      <c r="P222" s="1"/>
      <c r="Q222" s="1"/>
      <c r="R222" s="1"/>
      <c r="S222" s="1"/>
    </row>
    <row r="223" spans="3:19" x14ac:dyDescent="0.25">
      <c r="C223" s="1"/>
      <c r="D223" s="1"/>
      <c r="E223" s="1"/>
      <c r="F223" s="1"/>
      <c r="G223" s="1"/>
      <c r="H223" s="1"/>
      <c r="I223" s="1"/>
      <c r="J223" s="1"/>
      <c r="K223" s="1"/>
      <c r="L223" s="1"/>
      <c r="M223" s="1"/>
      <c r="N223" s="1"/>
      <c r="O223" s="1"/>
      <c r="P223" s="1"/>
      <c r="Q223" s="1"/>
      <c r="R223" s="1"/>
      <c r="S223" s="1"/>
    </row>
  </sheetData>
  <pageMargins left="0.70866141732283472" right="0.70866141732283472" top="0.74803149606299213" bottom="0.74803149606299213" header="0.31496062992125984" footer="0.31496062992125984"/>
  <pageSetup paperSize="5" scale="5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F3009E8AA43C429C138CAD259C3B75" ma:contentTypeVersion="5" ma:contentTypeDescription="Create a new document." ma:contentTypeScope="" ma:versionID="7875e2a478910ef226af0522ca0d3678">
  <xsd:schema xmlns:xsd="http://www.w3.org/2001/XMLSchema" xmlns:xs="http://www.w3.org/2001/XMLSchema" xmlns:p="http://schemas.microsoft.com/office/2006/metadata/properties" xmlns:ns2="c25338e9-2c69-4c7a-8904-bcf61b620fd7" xmlns:ns3="0dfff056-397f-40d2-a3a0-6a7c80a2ca17" targetNamespace="http://schemas.microsoft.com/office/2006/metadata/properties" ma:root="true" ma:fieldsID="c2ec224fd4c63d802d9b15b7db963fee" ns2:_="" ns3:_="">
    <xsd:import namespace="c25338e9-2c69-4c7a-8904-bcf61b620fd7"/>
    <xsd:import namespace="0dfff056-397f-40d2-a3a0-6a7c80a2ca17"/>
    <xsd:element name="properties">
      <xsd:complexType>
        <xsd:sequence>
          <xsd:element name="documentManagement">
            <xsd:complexType>
              <xsd:all>
                <xsd:element ref="ns2:Anio" minOccurs="0"/>
                <xsd:element ref="ns2:descripcion"/>
                <xsd:element ref="ns2:tipo"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5338e9-2c69-4c7a-8904-bcf61b620fd7" elementFormDefault="qualified">
    <xsd:import namespace="http://schemas.microsoft.com/office/2006/documentManagement/types"/>
    <xsd:import namespace="http://schemas.microsoft.com/office/infopath/2007/PartnerControls"/>
    <xsd:element name="Anio" ma:index="8" nillable="true" ma:displayName="Anio" ma:default="2018" ma:format="Dropdown" ma:internalName="Anio">
      <xsd:simpleType>
        <xsd:restriction base="dms:Choice">
          <xsd:enumeration value="2018"/>
          <xsd:enumeration value="2017"/>
          <xsd:enumeration value="2016"/>
          <xsd:enumeration value="2015"/>
        </xsd:restriction>
      </xsd:simpleType>
    </xsd:element>
    <xsd:element name="descripcion" ma:index="9" ma:displayName="descripcion" ma:description="Descripción del archivo. Este campo se usa para agrupar los diferentes formatos de un documento. Si desea subir este mismo archivo pero en otro formato, al momento de subirlo recuerde colocar la mísma descripción en ambos archivos" ma:internalName="descripcion">
      <xsd:simpleType>
        <xsd:restriction base="dms:Text">
          <xsd:maxLength value="255"/>
        </xsd:restriction>
      </xsd:simpleType>
    </xsd:element>
    <xsd:element name="tipo" ma:index="10" nillable="true" ma:displayName="tipo" ma:default="ejecucion presupuesto" ma:format="Dropdown" ma:internalName="tipo">
      <xsd:simpleType>
        <xsd:restriction base="dms:Choice">
          <xsd:enumeration value="ejecucion presupuesto"/>
          <xsd:enumeration value="presupuesto"/>
        </xsd:restriction>
      </xsd:simpleType>
    </xsd:element>
  </xsd:schema>
  <xsd:schema xmlns:xsd="http://www.w3.org/2001/XMLSchema" xmlns:xs="http://www.w3.org/2001/XMLSchema" xmlns:dms="http://schemas.microsoft.com/office/2006/documentManagement/types" xmlns:pc="http://schemas.microsoft.com/office/infopath/2007/PartnerControls" targetNamespace="0dfff056-397f-40d2-a3a0-6a7c80a2ca1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ipo xmlns="c25338e9-2c69-4c7a-8904-bcf61b620fd7">ejecucion presupuesto</tipo>
    <Anio xmlns="c25338e9-2c69-4c7a-8904-bcf61b620fd7">2017</Anio>
    <descripcion xmlns="c25338e9-2c69-4c7a-8904-bcf61b620fd7">Ejecución del Presupuesto Enero - Mayo 2017</descripcion>
  </documentManagement>
</p:properties>
</file>

<file path=customXml/itemProps1.xml><?xml version="1.0" encoding="utf-8"?>
<ds:datastoreItem xmlns:ds="http://schemas.openxmlformats.org/officeDocument/2006/customXml" ds:itemID="{D7DFAFCF-2C54-4816-96C2-C7BB3FFFE627}"/>
</file>

<file path=customXml/itemProps2.xml><?xml version="1.0" encoding="utf-8"?>
<ds:datastoreItem xmlns:ds="http://schemas.openxmlformats.org/officeDocument/2006/customXml" ds:itemID="{8B732D18-45B5-41FB-9351-6AD0BA43A3B8}"/>
</file>

<file path=customXml/itemProps3.xml><?xml version="1.0" encoding="utf-8"?>
<ds:datastoreItem xmlns:ds="http://schemas.openxmlformats.org/officeDocument/2006/customXml" ds:itemID="{A0EF1F18-4D96-420D-B953-C0B0C260AD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Fondo 100</vt:lpstr>
      <vt:lpstr>Fondos Propios</vt:lpstr>
      <vt:lpstr>Suma Fondos Consolidados</vt:lpstr>
      <vt:lpstr>'Fondo 100'!Títulos_a_imprimir</vt:lpstr>
      <vt:lpstr>'Fondos Propios'!Títulos_a_imprimir</vt:lpstr>
      <vt:lpstr>'Suma Fondos Consolidados'!Títulos_a_imprimir</vt:lpstr>
    </vt:vector>
  </TitlesOfParts>
  <Company>Direccion General de Aduanas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A. Vizcaino</dc:creator>
  <cp:lastModifiedBy>Edmundo A. Vizcaino</cp:lastModifiedBy>
  <cp:lastPrinted>2017-06-06T19:22:22Z</cp:lastPrinted>
  <dcterms:created xsi:type="dcterms:W3CDTF">2012-12-04T15:05:10Z</dcterms:created>
  <dcterms:modified xsi:type="dcterms:W3CDTF">2017-06-26T14:17:04Z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0x01010058F3009E8AA43C429C138CAD259C3B75</vt:lpwstr>
  </property>
</Properties>
</file>